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" yWindow="1032" windowWidth="22440" windowHeight="12780" tabRatio="599" activeTab="4"/>
  </bookViews>
  <sheets>
    <sheet name="G-DE-1 CliProTot,70-21" sheetId="1" r:id="rId1"/>
    <sheet name="G-DE-2 CliProXEmp,21" sheetId="2" r:id="rId2"/>
    <sheet name="G-DE-3 VenEneElecXClaSer,21" sheetId="3" r:id="rId3"/>
    <sheet name="G-DE-4 VenEneElecXEmp,21" sheetId="4" r:id="rId4"/>
    <sheet name="G-DE-5 VenReEleXCSer-EDEMET,21" sheetId="5" r:id="rId5"/>
    <sheet name="G-DE-6 VenReEleXCSer-ENSA,21" sheetId="6" r:id="rId6"/>
    <sheet name="G-DE-7 VenReEleXCSer-EDECHI,21" sheetId="7" r:id="rId7"/>
    <sheet name="C-DE-1 PoblServElec,70-21" sheetId="8" r:id="rId8"/>
    <sheet name="C-DE-2 CliProXClaSer,70-21" sheetId="9" r:id="rId9"/>
    <sheet name="C-DE-3 EmDiEle,CliReXClSer,21" sheetId="10" r:id="rId10"/>
    <sheet name="C-DE-4 NCli&amp;ConSTar(Met&amp;Chi),21" sheetId="11" r:id="rId11"/>
    <sheet name="C-DE-5 NCli&amp;ConSTar(Ensa),21" sheetId="12" r:id="rId12"/>
    <sheet name="C-DE-6 ConsMensProXCli,70-21" sheetId="13" r:id="rId13"/>
    <sheet name="C-DE-7 VenEnerElecXEmpDist,21" sheetId="14" r:id="rId14"/>
    <sheet name="C-DE-8 VenEnerElecXSer,70-21" sheetId="15" r:id="rId15"/>
    <sheet name="C-DE-8A VenEnerElecXSer,70-21" sheetId="16" r:id="rId16"/>
    <sheet name="C-DE-8B VenEnerElecXSer,70-21" sheetId="17" r:id="rId17"/>
    <sheet name="C-DE-9 VenEnerElec-CentAm-15-21" sheetId="18" r:id="rId18"/>
    <sheet name="C-DE-10 PrecElec-CentAM-12-21" sheetId="19" r:id="rId19"/>
    <sheet name="C-DE-11 CosKWhTarBTS&amp;BTD,16" sheetId="20" r:id="rId20"/>
  </sheets>
  <definedNames>
    <definedName name="_xlnm.Print_Area" localSheetId="17">'C-DE-9 VenEnerElec-CentAm-15-21'!$F$52:$H$111</definedName>
  </definedNames>
  <calcPr fullCalcOnLoad="1"/>
</workbook>
</file>

<file path=xl/sharedStrings.xml><?xml version="1.0" encoding="utf-8"?>
<sst xmlns="http://schemas.openxmlformats.org/spreadsheetml/2006/main" count="459" uniqueCount="197">
  <si>
    <t>Ventas en Bloque 2/</t>
  </si>
  <si>
    <t>Otros
Usos 1/</t>
  </si>
  <si>
    <t xml:space="preserve">EMPRESAS DE DISTRIBUCIÓN ELÉCTRICA </t>
  </si>
  <si>
    <t>VENTAS DE ENERGÍA ELÉCTRICA POR CLASE DE SERVICIO</t>
  </si>
  <si>
    <t xml:space="preserve">     Particulares</t>
  </si>
  <si>
    <t>Nota:  Elaborado en base a información proporcionada por las Empresas de Distribución de Energía Eléctrica</t>
  </si>
  <si>
    <t>Nota:  Elaborado en base a información proporcionada por las Empresas de Distribución de Energía Eléctrica.</t>
  </si>
  <si>
    <t xml:space="preserve">  Población
(1/)</t>
  </si>
  <si>
    <t xml:space="preserve">   Viviendas
(2/)</t>
  </si>
  <si>
    <t xml:space="preserve">POBLACIÓN SERVIDA DE ELECTRICIDAD </t>
  </si>
  <si>
    <t>Consumo de
Energía
(MWh)</t>
  </si>
  <si>
    <t>EMPRESAS DE DISTRIBUCIÓN ELÉCTRICA</t>
  </si>
  <si>
    <t>METRO OESTE S. A. - CHIRIQUÍ S.A.</t>
  </si>
  <si>
    <t>NÚMERO DE CLIENTES Y CONSUMO SEGÚN TARIFA</t>
  </si>
  <si>
    <t>EMPRESA DE DISTRIBUCIÓN ELÉCTRICA</t>
  </si>
  <si>
    <t>Número de
Clientes</t>
  </si>
  <si>
    <t>Costa Rica</t>
  </si>
  <si>
    <t>Honduras</t>
  </si>
  <si>
    <t>El Salvador</t>
  </si>
  <si>
    <t>Guatemala</t>
  </si>
  <si>
    <t>Nicaragua</t>
  </si>
  <si>
    <t>Clientes Promedio por Empresa</t>
  </si>
  <si>
    <t>Ventas de Energía Eléctrica por Clase de Servicio</t>
  </si>
  <si>
    <t>Ventas de Energía Eléctrica por Empresas</t>
  </si>
  <si>
    <t>EDE Metro-Oeste, S. A.</t>
  </si>
  <si>
    <t>EDE Chiriquí, S. A.</t>
  </si>
  <si>
    <t>Clientes Promedio Totales en la República</t>
  </si>
  <si>
    <t xml:space="preserve"> Total
(8A y 8B)</t>
  </si>
  <si>
    <t>CUADRO DE-8</t>
  </si>
  <si>
    <t>CUADRO DE-8A</t>
  </si>
  <si>
    <t>CUADRO DE-8B</t>
  </si>
  <si>
    <t>CUADRO DE-9</t>
  </si>
  <si>
    <t>CUADRO DE-1</t>
  </si>
  <si>
    <t>CUADRO DE-2</t>
  </si>
  <si>
    <t>CLIENTES PROMEDIO POR CLASE DE SERVICIO</t>
  </si>
  <si>
    <t>CUADRO DE-3</t>
  </si>
  <si>
    <t>CUADRO DE-4</t>
  </si>
  <si>
    <t>CUADRO DE-5</t>
  </si>
  <si>
    <t>CUADRO DE-6</t>
  </si>
  <si>
    <t>CUADRO DE-7</t>
  </si>
  <si>
    <t>Grandes Clientes</t>
  </si>
  <si>
    <t xml:space="preserve"> 1990-2000</t>
  </si>
  <si>
    <t xml:space="preserve"> 1/ Contiene Chiriqui Land. Co. hasta el año 1997.   </t>
  </si>
  <si>
    <t xml:space="preserve"> 2/ Contiene Petroterminales, Comision del Canal, ICE e INE.  A partir del año 2001 se incluye el consumo de los grandes consumidores.</t>
  </si>
  <si>
    <t>(GWh)</t>
  </si>
  <si>
    <t xml:space="preserve"> </t>
  </si>
  <si>
    <t>Años</t>
  </si>
  <si>
    <t>Total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</si>
  <si>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</si>
  <si>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</si>
  <si>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</si>
  <si>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</si>
  <si>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</si>
  <si>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</si>
  <si>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</si>
  <si>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</si>
  <si>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</si>
  <si>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</si>
  <si>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</si>
  <si>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</si>
  <si>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</si>
  <si>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</si>
  <si>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</si>
  <si>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</si>
  <si>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</si>
  <si>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</si>
  <si>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Gráfica DE-7</t>
  </si>
  <si>
    <t>1988</t>
  </si>
  <si>
    <t>1993</t>
  </si>
  <si>
    <t>1994</t>
  </si>
  <si>
    <t>1995</t>
  </si>
  <si>
    <t>1996</t>
  </si>
  <si>
    <t>1997</t>
  </si>
  <si>
    <t>PARTICIPACION PORCENTUAL</t>
  </si>
  <si>
    <t>1990</t>
  </si>
  <si>
    <t>TASA PROMEDIO DE CRECIMIENTO (%)</t>
  </si>
  <si>
    <t>1970-1980</t>
  </si>
  <si>
    <t>1980-1990</t>
  </si>
  <si>
    <t>1990-2000</t>
  </si>
  <si>
    <t>TOTAL</t>
  </si>
  <si>
    <t>AÑOS</t>
  </si>
  <si>
    <t xml:space="preserve">1990 </t>
  </si>
  <si>
    <t xml:space="preserve">1991 </t>
  </si>
  <si>
    <t>Año</t>
  </si>
  <si>
    <t xml:space="preserve">1989 </t>
  </si>
  <si>
    <t>VENTAS DE ENERGIA ELECTRICA POR CLASE DE SERVICIO</t>
  </si>
  <si>
    <t xml:space="preserve"> Total</t>
  </si>
  <si>
    <t>Residencial</t>
  </si>
  <si>
    <t>Comercial</t>
  </si>
  <si>
    <t>Industrial</t>
  </si>
  <si>
    <t>Gobierno</t>
  </si>
  <si>
    <t xml:space="preserve"> 1970-1980</t>
  </si>
  <si>
    <t xml:space="preserve"> 1980-1990</t>
  </si>
  <si>
    <t xml:space="preserve">      Particulares</t>
  </si>
  <si>
    <t>Alumbrado Público</t>
  </si>
  <si>
    <t xml:space="preserve">      Sub Total</t>
  </si>
  <si>
    <t>Uso de la Empresa</t>
  </si>
  <si>
    <t>Otros</t>
  </si>
  <si>
    <t xml:space="preserve">          Distribución de Energía Eléctrica.</t>
  </si>
  <si>
    <t xml:space="preserve">          </t>
  </si>
  <si>
    <t>Panamá</t>
  </si>
  <si>
    <t>Gráfica DE-1</t>
  </si>
  <si>
    <t>Gráfica DE-2</t>
  </si>
  <si>
    <t>Gráfica DE-3</t>
  </si>
  <si>
    <t>Gráfica DE-4</t>
  </si>
  <si>
    <t>Gráfica DE-5</t>
  </si>
  <si>
    <t>Gráfica DE-6</t>
  </si>
  <si>
    <t>Industria</t>
  </si>
  <si>
    <t xml:space="preserve"> Gobierno</t>
  </si>
  <si>
    <t>PARTICIPACION PORCENTUAL (%)</t>
  </si>
  <si>
    <t>CLIENTES REALES POR CLASE DE SERVICIO</t>
  </si>
  <si>
    <t>CONSUMO MENSUAL PROMEDIO POR CLIENTE</t>
  </si>
  <si>
    <t>(KWh)</t>
  </si>
  <si>
    <t>RESIDENCIAL</t>
  </si>
  <si>
    <t>COMERCIAL</t>
  </si>
  <si>
    <t xml:space="preserve"> INDUSTRIAL</t>
  </si>
  <si>
    <t xml:space="preserve"> GOBIERNO</t>
  </si>
  <si>
    <t xml:space="preserve">1992 </t>
  </si>
  <si>
    <t>Clientes</t>
  </si>
  <si>
    <t>(MWh)</t>
  </si>
  <si>
    <t>Detalle</t>
  </si>
  <si>
    <t>BAJA TENSION</t>
  </si>
  <si>
    <t>BTS</t>
  </si>
  <si>
    <t>BTD</t>
  </si>
  <si>
    <t>BTH</t>
  </si>
  <si>
    <t>MEDIA TENSION</t>
  </si>
  <si>
    <t>MDT</t>
  </si>
  <si>
    <t>MTH</t>
  </si>
  <si>
    <t>ALTA TENSION</t>
  </si>
  <si>
    <t>ATD</t>
  </si>
  <si>
    <t>ATH</t>
  </si>
  <si>
    <t xml:space="preserve">Nota:  Elaborado en base a información proporcionada por las empresas de </t>
  </si>
  <si>
    <t xml:space="preserve">Nota:  Elaborado en base a información proporcionada por la empresa de </t>
  </si>
  <si>
    <t>MWh</t>
  </si>
  <si>
    <t>EDEMET</t>
  </si>
  <si>
    <t>EDECHI</t>
  </si>
  <si>
    <t xml:space="preserve"> 2/ Contiene Petroterminales, Comision del Canal, ICE e INE.  A partir del año 2001
     se incluye el consumo de los grandes consumidores.</t>
  </si>
  <si>
    <t xml:space="preserve"> Nota: Excluye Uso de la Empresa y Otros</t>
  </si>
  <si>
    <t>MTD</t>
  </si>
  <si>
    <t>(Ctvos / KWh)</t>
  </si>
  <si>
    <t>-</t>
  </si>
  <si>
    <t>Ventas Reales de Electricidad por Clase de Servicio   (MWh)</t>
  </si>
  <si>
    <t>Ventas Reales de Electricidad por Clase de Servicio  (MWh)</t>
  </si>
  <si>
    <t>Ventas Reales de Electricidad por Clase de Servicio (MWh)</t>
  </si>
  <si>
    <t>ENSA</t>
  </si>
  <si>
    <t>2000-2010</t>
  </si>
  <si>
    <t xml:space="preserve"> 2000-2010</t>
  </si>
  <si>
    <t>Total de Viviedas
Ocupadas
(3/)</t>
  </si>
  <si>
    <t>Viviendas
Particulares Ocupadas con
E.E</t>
  </si>
  <si>
    <t>2/  Total de Viviendas ocupadas, desocupadas, en venta, en alquiler, en reparación, de veraneo y otros motivos.</t>
  </si>
  <si>
    <t>3/  Es aquella que al momento del censo se encuentra con ocupantes presentes.</t>
  </si>
  <si>
    <t xml:space="preserve">Nota:  Nuevo cálculo de indice en base a información censal del INEC. </t>
  </si>
  <si>
    <t xml:space="preserve">Acceso al 
Servicio de Eléctricidad 
en % </t>
  </si>
  <si>
    <t>1/  Cifras revisadas de la Población Total según Censo de Población y de Vivienda y estimaciónes del INEC.</t>
  </si>
  <si>
    <t>Viviendas
con Energía Eléctrica
en %</t>
  </si>
  <si>
    <t>Belice</t>
  </si>
  <si>
    <t>50  kWh</t>
  </si>
  <si>
    <t>99  kWh</t>
  </si>
  <si>
    <t>200  kWh</t>
  </si>
  <si>
    <t>751  kWh</t>
  </si>
  <si>
    <t>1000   kWh</t>
  </si>
  <si>
    <t>15 000   kWh, 41 kW</t>
  </si>
  <si>
    <t>50 000   kWh,  137 kW</t>
  </si>
  <si>
    <t>100 000   kWh,  274 kW</t>
  </si>
  <si>
    <t>Consumos</t>
  </si>
  <si>
    <t>Sector</t>
  </si>
  <si>
    <t>Costa Rica     (ICE)</t>
  </si>
  <si>
    <t>Belice          (BEL)</t>
  </si>
  <si>
    <t>El Salvador  (CAESS)</t>
  </si>
  <si>
    <t>Guatemala (EEGSA)</t>
  </si>
  <si>
    <t>Honduras (ENEE)</t>
  </si>
  <si>
    <t>Nicaragua (Dis Norte y Dis Sur)</t>
  </si>
  <si>
    <t>Panama  (ENSA)</t>
  </si>
  <si>
    <t xml:space="preserve">PAÍSES DE AMÉRICA CENTRAL </t>
  </si>
  <si>
    <t>TARIFAS A CONSUMOS SELECCIONADOS AL 30 DE JUNIO DE CADA AÑO,   2015 - 2016</t>
  </si>
  <si>
    <t>Fuente:  CEPAL</t>
  </si>
  <si>
    <t>Nota:     Los valores calculados no incluyen impuestos locales y tasas municipales.   En el sector Residencial se incluyen los subsidios.</t>
  </si>
  <si>
    <t>Pais</t>
  </si>
  <si>
    <t>VENTAS DE ENERGÍA ELÉCTRICA Y NUMERO DE CLIENTES EN CENTROAMERICA</t>
  </si>
  <si>
    <t>Clientes                                     (en miles)</t>
  </si>
  <si>
    <t>Ventas                                         (GWh)</t>
  </si>
  <si>
    <t>Fuente: CEPAL</t>
  </si>
  <si>
    <t>AÑO  2016</t>
  </si>
  <si>
    <t>AÑO  2017</t>
  </si>
  <si>
    <t>CUADRO DE-11</t>
  </si>
  <si>
    <t>CUADRO DE- 10</t>
  </si>
  <si>
    <t>PRECIO MEDIO REGULADO POR PAIS</t>
  </si>
  <si>
    <t>(en centavos de dólar / kWh)</t>
  </si>
  <si>
    <t>AÑO  2018</t>
  </si>
  <si>
    <t>AÑO  2019</t>
  </si>
  <si>
    <t>2010-2021</t>
  </si>
  <si>
    <t>1970 - 2021</t>
  </si>
  <si>
    <t xml:space="preserve"> 2010-2021</t>
  </si>
  <si>
    <t>Años: 1970 - 2021</t>
  </si>
  <si>
    <t>Año: 2021</t>
  </si>
  <si>
    <t>AÑO  2020</t>
  </si>
  <si>
    <t>AÑO  2021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</si>
</sst>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* #,##0_ ;_ * \-#,##0_ ;_ * &quot;-&quot;_ ;_ @_ "/>
    <numFmt numFmtId="178" formatCode="_ &quot;B/.&quot;\ * #,##0.00_ ;_ &quot;B/.&quot;\ * \-#,##0.00_ ;_ &quot;B/.&quot;\ * &quot;-&quot;??_ ;_ @_ "/>
    <numFmt numFmtId="179" formatCode="_ * #,##0.00_ ;_ * \-#,##0.00_ ;_ * &quot;-&quot;??_ ;_ @_ "/>
    <numFmt numFmtId="180" formatCode="&quot;$&quot;#,##0.00;[Red]\-&quot;$&quot;#,##0.00"/>
    <numFmt numFmtId="181" formatCode="_-&quot;$&quot;* #,##0_-;\-&quot;$&quot;* #,##0_-;_-&quot;$&quot;* &quot;-&quot;_-;_-@_-"/>
    <numFmt numFmtId="182" formatCode="_-* #,##0_-;\-* #,##0_-;_-* &quot;-&quot;_-;_-@_-"/>
    <numFmt numFmtId="183" formatCode="_-&quot;$&quot;* #,##0.00_-;\-&quot;$&quot;* #,##0.00_-;_-&quot;$&quot;* &quot;-&quot;??_-;_-@_-"/>
    <numFmt numFmtId="184" formatCode="_-* #,##0.00_-;\-* #,##0.00_-;_-* &quot;-&quot;??_-;_-@_-"/>
    <numFmt numFmtId="185" formatCode="#,##0.0"/>
    <numFmt numFmtId="186" formatCode="0.0"/>
    <numFmt numFmtId="187" formatCode="0.0%"/>
    <numFmt numFmtId="188" formatCode="0_)"/>
    <numFmt numFmtId="189" formatCode="0.0_)"/>
    <numFmt numFmtId="190" formatCode="dd\-mmm\-yy_)"/>
    <numFmt numFmtId="191" formatCode="#,##0.0_);\(#,##0.0\)"/>
    <numFmt numFmtId="192" formatCode="_-[$€-2]* #,##0.00_-;\-[$€-2]* #,##0.00_-;_-[$€-2]* &quot;-&quot;??_-"/>
    <numFmt numFmtId="193" formatCode="#,##0.0_ ;[Red]\-#,##0.0\ "/>
    <numFmt numFmtId="194" formatCode="#,##0_ ;[Red]\-#,##0\ "/>
    <numFmt numFmtId="195" formatCode="_ * #,##0_ ;_ * \-#,##0_ ;_ * &quot;-&quot;??_ ;_ @_ "/>
    <numFmt numFmtId="196" formatCode="_(* #,##0_);_(* \(#,##0\);_(* &quot;-&quot;??_);_(@_)"/>
    <numFmt numFmtId="197" formatCode="#,##0.0;\-#,##0.0"/>
    <numFmt numFmtId="198" formatCode="#,##0.000;\-#,##0.000"/>
    <numFmt numFmtId="199" formatCode="0.000"/>
    <numFmt numFmtId="200" formatCode="0.000000000"/>
    <numFmt numFmtId="201" formatCode="0.00000000"/>
    <numFmt numFmtId="202" formatCode="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,##0.000"/>
    <numFmt numFmtId="208" formatCode="#,##0.0000"/>
    <numFmt numFmtId="209" formatCode="#,##0.00000"/>
    <numFmt numFmtId="210" formatCode="#,##0.00_ ;[Red]\-#,##0.00\ "/>
    <numFmt numFmtId="211" formatCode="0.00_)"/>
    <numFmt numFmtId="212" formatCode="#,##0.000_);\(#,##0.000\)"/>
    <numFmt numFmtId="213" formatCode="#,##0_);\(#,##0\)"/>
  </numFmts>
  <fonts count="62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20.25"/>
      <color indexed="8"/>
      <name val="Tahoma"/>
      <family val="0"/>
    </font>
    <font>
      <b/>
      <sz val="8"/>
      <color indexed="10"/>
      <name val="Tahoma"/>
      <family val="0"/>
    </font>
    <font>
      <sz val="9"/>
      <color indexed="8"/>
      <name val="Times New Roman"/>
      <family val="0"/>
    </font>
    <font>
      <sz val="9.25"/>
      <color indexed="8"/>
      <name val="Times New Roman"/>
      <family val="0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5"/>
      <color indexed="8"/>
      <name val="Arial"/>
      <family val="0"/>
    </font>
    <font>
      <b/>
      <sz val="10.75"/>
      <color indexed="8"/>
      <name val="Arial"/>
      <family val="0"/>
    </font>
    <font>
      <b/>
      <sz val="9.5"/>
      <color indexed="8"/>
      <name val="Arial"/>
      <family val="0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179" fontId="13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3" fillId="28" borderId="1" applyNumberFormat="0" applyAlignment="0" applyProtection="0"/>
    <xf numFmtId="19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5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93" fontId="8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/>
    </xf>
    <xf numFmtId="189" fontId="8" fillId="0" borderId="0" xfId="0" applyNumberFormat="1" applyFont="1" applyFill="1" applyBorder="1" applyAlignment="1" applyProtection="1">
      <alignment vertical="center"/>
      <protection/>
    </xf>
    <xf numFmtId="189" fontId="9" fillId="0" borderId="0" xfId="0" applyNumberFormat="1" applyFont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193" fontId="8" fillId="0" borderId="12" xfId="0" applyNumberFormat="1" applyFont="1" applyFill="1" applyBorder="1" applyAlignment="1" applyProtection="1">
      <alignment vertical="center"/>
      <protection/>
    </xf>
    <xf numFmtId="193" fontId="8" fillId="0" borderId="13" xfId="0" applyNumberFormat="1" applyFont="1" applyFill="1" applyBorder="1" applyAlignment="1" applyProtection="1">
      <alignment vertical="center"/>
      <protection/>
    </xf>
    <xf numFmtId="193" fontId="8" fillId="0" borderId="14" xfId="0" applyNumberFormat="1" applyFont="1" applyFill="1" applyBorder="1" applyAlignment="1" applyProtection="1">
      <alignment vertical="center"/>
      <protection/>
    </xf>
    <xf numFmtId="193" fontId="8" fillId="0" borderId="10" xfId="0" applyNumberFormat="1" applyFont="1" applyFill="1" applyBorder="1" applyAlignment="1" applyProtection="1">
      <alignment vertical="center"/>
      <protection/>
    </xf>
    <xf numFmtId="193" fontId="8" fillId="0" borderId="15" xfId="0" applyNumberFormat="1" applyFont="1" applyFill="1" applyBorder="1" applyAlignment="1" applyProtection="1">
      <alignment vertical="center"/>
      <protection/>
    </xf>
    <xf numFmtId="193" fontId="8" fillId="0" borderId="16" xfId="0" applyNumberFormat="1" applyFont="1" applyFill="1" applyBorder="1" applyAlignment="1" applyProtection="1">
      <alignment vertical="center"/>
      <protection/>
    </xf>
    <xf numFmtId="193" fontId="8" fillId="0" borderId="17" xfId="0" applyNumberFormat="1" applyFont="1" applyFill="1" applyBorder="1" applyAlignment="1" applyProtection="1">
      <alignment vertical="center"/>
      <protection/>
    </xf>
    <xf numFmtId="194" fontId="9" fillId="0" borderId="11" xfId="0" applyNumberFormat="1" applyFont="1" applyBorder="1" applyAlignment="1">
      <alignment vertical="center"/>
    </xf>
    <xf numFmtId="194" fontId="9" fillId="0" borderId="17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91" fontId="8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left" vertical="center"/>
      <protection/>
    </xf>
    <xf numFmtId="0" fontId="8" fillId="0" borderId="13" xfId="0" applyFont="1" applyFill="1" applyBorder="1" applyAlignment="1">
      <alignment vertical="center"/>
    </xf>
    <xf numFmtId="193" fontId="8" fillId="0" borderId="10" xfId="0" applyNumberFormat="1" applyFont="1" applyFill="1" applyBorder="1" applyAlignment="1" applyProtection="1">
      <alignment horizontal="center" vertical="center"/>
      <protection/>
    </xf>
    <xf numFmtId="193" fontId="8" fillId="0" borderId="11" xfId="0" applyNumberFormat="1" applyFont="1" applyFill="1" applyBorder="1" applyAlignment="1" applyProtection="1">
      <alignment horizontal="center" vertical="center"/>
      <protection/>
    </xf>
    <xf numFmtId="193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vertical="center"/>
      <protection/>
    </xf>
    <xf numFmtId="189" fontId="1" fillId="0" borderId="0" xfId="0" applyNumberFormat="1" applyFont="1" applyFill="1" applyBorder="1" applyAlignment="1" applyProtection="1">
      <alignment vertical="center"/>
      <protection/>
    </xf>
    <xf numFmtId="193" fontId="8" fillId="0" borderId="18" xfId="0" applyNumberFormat="1" applyFont="1" applyFill="1" applyBorder="1" applyAlignment="1" applyProtection="1">
      <alignment vertical="center"/>
      <protection/>
    </xf>
    <xf numFmtId="193" fontId="8" fillId="0" borderId="11" xfId="0" applyNumberFormat="1" applyFont="1" applyFill="1" applyBorder="1" applyAlignment="1" applyProtection="1">
      <alignment vertical="center"/>
      <protection/>
    </xf>
    <xf numFmtId="193" fontId="8" fillId="0" borderId="19" xfId="0" applyNumberFormat="1" applyFont="1" applyFill="1" applyBorder="1" applyAlignment="1" applyProtection="1">
      <alignment vertical="center"/>
      <protection/>
    </xf>
    <xf numFmtId="193" fontId="8" fillId="0" borderId="20" xfId="0" applyNumberFormat="1" applyFont="1" applyFill="1" applyBorder="1" applyAlignment="1" applyProtection="1">
      <alignment vertical="center"/>
      <protection/>
    </xf>
    <xf numFmtId="193" fontId="8" fillId="0" borderId="21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 horizontal="left" vertical="center"/>
    </xf>
    <xf numFmtId="37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37" fontId="7" fillId="0" borderId="10" xfId="0" applyNumberFormat="1" applyFont="1" applyFill="1" applyBorder="1" applyAlignment="1" applyProtection="1">
      <alignment vertical="center"/>
      <protection/>
    </xf>
    <xf numFmtId="37" fontId="8" fillId="0" borderId="10" xfId="0" applyNumberFormat="1" applyFont="1" applyFill="1" applyBorder="1" applyAlignment="1" applyProtection="1">
      <alignment vertical="center"/>
      <protection/>
    </xf>
    <xf numFmtId="37" fontId="6" fillId="0" borderId="10" xfId="0" applyNumberFormat="1" applyFont="1" applyBorder="1" applyAlignment="1">
      <alignment vertical="center"/>
    </xf>
    <xf numFmtId="37" fontId="9" fillId="0" borderId="10" xfId="0" applyNumberFormat="1" applyFont="1" applyBorder="1" applyAlignment="1">
      <alignment vertical="center"/>
    </xf>
    <xf numFmtId="37" fontId="9" fillId="0" borderId="10" xfId="0" applyNumberFormat="1" applyFont="1" applyBorder="1" applyAlignment="1">
      <alignment horizontal="right" vertical="center"/>
    </xf>
    <xf numFmtId="0" fontId="8" fillId="0" borderId="18" xfId="0" applyFont="1" applyFill="1" applyBorder="1" applyAlignment="1">
      <alignment vertical="center"/>
    </xf>
    <xf numFmtId="37" fontId="7" fillId="0" borderId="11" xfId="0" applyNumberFormat="1" applyFont="1" applyFill="1" applyBorder="1" applyAlignment="1" applyProtection="1">
      <alignment vertical="center"/>
      <protection/>
    </xf>
    <xf numFmtId="191" fontId="8" fillId="0" borderId="11" xfId="0" applyNumberFormat="1" applyFont="1" applyFill="1" applyBorder="1" applyAlignment="1" applyProtection="1">
      <alignment vertical="center"/>
      <protection/>
    </xf>
    <xf numFmtId="37" fontId="8" fillId="0" borderId="11" xfId="0" applyNumberFormat="1" applyFont="1" applyFill="1" applyBorder="1" applyAlignment="1" applyProtection="1">
      <alignment vertical="center"/>
      <protection/>
    </xf>
    <xf numFmtId="37" fontId="6" fillId="0" borderId="11" xfId="0" applyNumberFormat="1" applyFont="1" applyBorder="1" applyAlignment="1">
      <alignment vertical="center"/>
    </xf>
    <xf numFmtId="37" fontId="9" fillId="0" borderId="11" xfId="0" applyNumberFormat="1" applyFont="1" applyBorder="1" applyAlignment="1">
      <alignment vertical="center"/>
    </xf>
    <xf numFmtId="37" fontId="9" fillId="0" borderId="16" xfId="0" applyNumberFormat="1" applyFont="1" applyBorder="1" applyAlignment="1">
      <alignment vertical="center"/>
    </xf>
    <xf numFmtId="37" fontId="9" fillId="0" borderId="16" xfId="0" applyNumberFormat="1" applyFont="1" applyBorder="1" applyAlignment="1">
      <alignment horizontal="right" vertical="center"/>
    </xf>
    <xf numFmtId="37" fontId="9" fillId="0" borderId="17" xfId="0" applyNumberFormat="1" applyFont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37" fontId="7" fillId="0" borderId="14" xfId="0" applyNumberFormat="1" applyFont="1" applyFill="1" applyBorder="1" applyAlignment="1" applyProtection="1">
      <alignment vertical="center"/>
      <protection/>
    </xf>
    <xf numFmtId="37" fontId="7" fillId="0" borderId="15" xfId="0" applyNumberFormat="1" applyFont="1" applyFill="1" applyBorder="1" applyAlignment="1" applyProtection="1">
      <alignment vertical="center"/>
      <protection/>
    </xf>
    <xf numFmtId="37" fontId="7" fillId="0" borderId="16" xfId="0" applyNumberFormat="1" applyFont="1" applyFill="1" applyBorder="1" applyAlignment="1" applyProtection="1">
      <alignment vertical="center"/>
      <protection/>
    </xf>
    <xf numFmtId="37" fontId="7" fillId="0" borderId="17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37" fontId="8" fillId="0" borderId="0" xfId="0" applyNumberFormat="1" applyFont="1" applyFill="1" applyBorder="1" applyAlignment="1">
      <alignment vertical="center"/>
    </xf>
    <xf numFmtId="37" fontId="8" fillId="0" borderId="0" xfId="0" applyNumberFormat="1" applyFont="1" applyFill="1" applyBorder="1" applyAlignment="1">
      <alignment horizontal="center" vertical="center"/>
    </xf>
    <xf numFmtId="189" fontId="7" fillId="0" borderId="0" xfId="0" applyNumberFormat="1" applyFont="1" applyFill="1" applyBorder="1" applyAlignment="1" applyProtection="1">
      <alignment horizontal="center" vertical="center"/>
      <protection/>
    </xf>
    <xf numFmtId="37" fontId="8" fillId="0" borderId="10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37" fontId="8" fillId="0" borderId="19" xfId="0" applyNumberFormat="1" applyFont="1" applyFill="1" applyBorder="1" applyAlignment="1" applyProtection="1">
      <alignment horizontal="center" vertical="center"/>
      <protection/>
    </xf>
    <xf numFmtId="37" fontId="8" fillId="0" borderId="13" xfId="0" applyNumberFormat="1" applyFont="1" applyFill="1" applyBorder="1" applyAlignment="1" applyProtection="1">
      <alignment horizontal="center" vertical="center"/>
      <protection/>
    </xf>
    <xf numFmtId="37" fontId="8" fillId="0" borderId="18" xfId="0" applyNumberFormat="1" applyFont="1" applyFill="1" applyBorder="1" applyAlignment="1" applyProtection="1">
      <alignment horizontal="center" vertical="center"/>
      <protection/>
    </xf>
    <xf numFmtId="37" fontId="8" fillId="0" borderId="20" xfId="0" applyNumberFormat="1" applyFont="1" applyFill="1" applyBorder="1" applyAlignment="1" applyProtection="1">
      <alignment horizontal="center" vertical="center"/>
      <protection/>
    </xf>
    <xf numFmtId="37" fontId="8" fillId="0" borderId="11" xfId="0" applyNumberFormat="1" applyFont="1" applyFill="1" applyBorder="1" applyAlignment="1" applyProtection="1">
      <alignment horizontal="center" vertical="center"/>
      <protection/>
    </xf>
    <xf numFmtId="3" fontId="8" fillId="0" borderId="11" xfId="0" applyNumberFormat="1" applyFont="1" applyFill="1" applyBorder="1" applyAlignment="1" applyProtection="1">
      <alignment horizontal="center" vertical="center"/>
      <protection/>
    </xf>
    <xf numFmtId="193" fontId="8" fillId="0" borderId="12" xfId="0" applyNumberFormat="1" applyFont="1" applyFill="1" applyBorder="1" applyAlignment="1" applyProtection="1">
      <alignment horizontal="center" vertical="center"/>
      <protection/>
    </xf>
    <xf numFmtId="193" fontId="8" fillId="0" borderId="13" xfId="0" applyNumberFormat="1" applyFont="1" applyFill="1" applyBorder="1" applyAlignment="1" applyProtection="1">
      <alignment horizontal="center" vertical="center"/>
      <protection/>
    </xf>
    <xf numFmtId="193" fontId="8" fillId="0" borderId="18" xfId="0" applyNumberFormat="1" applyFont="1" applyFill="1" applyBorder="1" applyAlignment="1" applyProtection="1">
      <alignment horizontal="center" vertical="center"/>
      <protection/>
    </xf>
    <xf numFmtId="193" fontId="8" fillId="0" borderId="14" xfId="0" applyNumberFormat="1" applyFont="1" applyFill="1" applyBorder="1" applyAlignment="1" applyProtection="1">
      <alignment horizontal="center" vertical="center"/>
      <protection/>
    </xf>
    <xf numFmtId="193" fontId="8" fillId="0" borderId="19" xfId="0" applyNumberFormat="1" applyFont="1" applyFill="1" applyBorder="1" applyAlignment="1" applyProtection="1">
      <alignment horizontal="center" vertical="center"/>
      <protection/>
    </xf>
    <xf numFmtId="193" fontId="8" fillId="0" borderId="20" xfId="0" applyNumberFormat="1" applyFont="1" applyFill="1" applyBorder="1" applyAlignment="1" applyProtection="1">
      <alignment horizontal="center" vertical="center"/>
      <protection/>
    </xf>
    <xf numFmtId="37" fontId="7" fillId="0" borderId="22" xfId="0" applyNumberFormat="1" applyFont="1" applyFill="1" applyBorder="1" applyAlignment="1" applyProtection="1">
      <alignment vertical="center"/>
      <protection/>
    </xf>
    <xf numFmtId="37" fontId="7" fillId="0" borderId="23" xfId="0" applyNumberFormat="1" applyFont="1" applyFill="1" applyBorder="1" applyAlignment="1" applyProtection="1">
      <alignment vertical="center"/>
      <protection/>
    </xf>
    <xf numFmtId="37" fontId="7" fillId="0" borderId="24" xfId="0" applyNumberFormat="1" applyFont="1" applyFill="1" applyBorder="1" applyAlignment="1" applyProtection="1">
      <alignment vertical="center"/>
      <protection/>
    </xf>
    <xf numFmtId="191" fontId="8" fillId="0" borderId="13" xfId="0" applyNumberFormat="1" applyFont="1" applyFill="1" applyBorder="1" applyAlignment="1" applyProtection="1">
      <alignment vertical="center"/>
      <protection/>
    </xf>
    <xf numFmtId="191" fontId="8" fillId="0" borderId="18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91" fontId="8" fillId="0" borderId="19" xfId="0" applyNumberFormat="1" applyFont="1" applyFill="1" applyBorder="1" applyAlignment="1" applyProtection="1">
      <alignment vertical="center"/>
      <protection/>
    </xf>
    <xf numFmtId="37" fontId="8" fillId="0" borderId="20" xfId="0" applyNumberFormat="1" applyFont="1" applyFill="1" applyBorder="1" applyAlignment="1" applyProtection="1">
      <alignment vertical="center"/>
      <protection/>
    </xf>
    <xf numFmtId="37" fontId="7" fillId="0" borderId="20" xfId="0" applyNumberFormat="1" applyFont="1" applyFill="1" applyBorder="1" applyAlignment="1" applyProtection="1">
      <alignment vertical="center"/>
      <protection/>
    </xf>
    <xf numFmtId="37" fontId="6" fillId="0" borderId="20" xfId="0" applyNumberFormat="1" applyFont="1" applyBorder="1" applyAlignment="1">
      <alignment vertical="center"/>
    </xf>
    <xf numFmtId="37" fontId="9" fillId="0" borderId="20" xfId="0" applyNumberFormat="1" applyFont="1" applyBorder="1" applyAlignment="1">
      <alignment vertical="center"/>
    </xf>
    <xf numFmtId="37" fontId="9" fillId="0" borderId="21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94" fontId="8" fillId="0" borderId="12" xfId="0" applyNumberFormat="1" applyFont="1" applyFill="1" applyBorder="1" applyAlignment="1" applyProtection="1">
      <alignment horizontal="center" vertical="center"/>
      <protection/>
    </xf>
    <xf numFmtId="194" fontId="8" fillId="0" borderId="13" xfId="0" applyNumberFormat="1" applyFont="1" applyFill="1" applyBorder="1" applyAlignment="1" applyProtection="1">
      <alignment horizontal="center" vertical="center"/>
      <protection/>
    </xf>
    <xf numFmtId="194" fontId="8" fillId="0" borderId="18" xfId="0" applyNumberFormat="1" applyFont="1" applyFill="1" applyBorder="1" applyAlignment="1" applyProtection="1">
      <alignment horizontal="center" vertical="center"/>
      <protection/>
    </xf>
    <xf numFmtId="194" fontId="8" fillId="0" borderId="14" xfId="0" applyNumberFormat="1" applyFont="1" applyFill="1" applyBorder="1" applyAlignment="1" applyProtection="1">
      <alignment horizontal="center" vertical="center"/>
      <protection/>
    </xf>
    <xf numFmtId="194" fontId="8" fillId="0" borderId="10" xfId="0" applyNumberFormat="1" applyFont="1" applyFill="1" applyBorder="1" applyAlignment="1" applyProtection="1">
      <alignment horizontal="center" vertical="center"/>
      <protection/>
    </xf>
    <xf numFmtId="194" fontId="8" fillId="0" borderId="11" xfId="0" applyNumberFormat="1" applyFont="1" applyFill="1" applyBorder="1" applyAlignment="1" applyProtection="1">
      <alignment horizontal="center" vertical="center"/>
      <protection/>
    </xf>
    <xf numFmtId="194" fontId="9" fillId="0" borderId="25" xfId="0" applyNumberFormat="1" applyFont="1" applyBorder="1" applyAlignment="1">
      <alignment vertical="center"/>
    </xf>
    <xf numFmtId="194" fontId="6" fillId="0" borderId="11" xfId="0" applyNumberFormat="1" applyFont="1" applyBorder="1" applyAlignment="1">
      <alignment vertical="center"/>
    </xf>
    <xf numFmtId="194" fontId="9" fillId="0" borderId="18" xfId="0" applyNumberFormat="1" applyFont="1" applyBorder="1" applyAlignment="1">
      <alignment vertical="center"/>
    </xf>
    <xf numFmtId="193" fontId="8" fillId="0" borderId="26" xfId="0" applyNumberFormat="1" applyFont="1" applyFill="1" applyBorder="1" applyAlignment="1" applyProtection="1">
      <alignment vertical="center"/>
      <protection/>
    </xf>
    <xf numFmtId="193" fontId="8" fillId="0" borderId="23" xfId="0" applyNumberFormat="1" applyFont="1" applyFill="1" applyBorder="1" applyAlignment="1" applyProtection="1">
      <alignment vertical="center"/>
      <protection/>
    </xf>
    <xf numFmtId="194" fontId="6" fillId="0" borderId="20" xfId="0" applyNumberFormat="1" applyFont="1" applyBorder="1" applyAlignment="1">
      <alignment vertical="center"/>
    </xf>
    <xf numFmtId="194" fontId="9" fillId="0" borderId="20" xfId="0" applyNumberFormat="1" applyFont="1" applyBorder="1" applyAlignment="1">
      <alignment vertical="center"/>
    </xf>
    <xf numFmtId="194" fontId="9" fillId="0" borderId="19" xfId="0" applyNumberFormat="1" applyFont="1" applyBorder="1" applyAlignment="1">
      <alignment vertical="center"/>
    </xf>
    <xf numFmtId="194" fontId="9" fillId="0" borderId="21" xfId="0" applyNumberFormat="1" applyFont="1" applyBorder="1" applyAlignment="1">
      <alignment vertical="center"/>
    </xf>
    <xf numFmtId="194" fontId="9" fillId="0" borderId="27" xfId="0" applyNumberFormat="1" applyFont="1" applyBorder="1" applyAlignment="1">
      <alignment vertical="center"/>
    </xf>
    <xf numFmtId="194" fontId="6" fillId="0" borderId="21" xfId="0" applyNumberFormat="1" applyFont="1" applyBorder="1" applyAlignment="1">
      <alignment vertical="center"/>
    </xf>
    <xf numFmtId="194" fontId="6" fillId="0" borderId="17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94" fontId="9" fillId="0" borderId="12" xfId="0" applyNumberFormat="1" applyFont="1" applyBorder="1" applyAlignment="1">
      <alignment vertical="center"/>
    </xf>
    <xf numFmtId="194" fontId="6" fillId="0" borderId="14" xfId="0" applyNumberFormat="1" applyFont="1" applyBorder="1" applyAlignment="1">
      <alignment vertical="center"/>
    </xf>
    <xf numFmtId="194" fontId="6" fillId="0" borderId="15" xfId="0" applyNumberFormat="1" applyFont="1" applyBorder="1" applyAlignment="1">
      <alignment vertical="center"/>
    </xf>
    <xf numFmtId="194" fontId="9" fillId="0" borderId="14" xfId="0" applyNumberFormat="1" applyFont="1" applyBorder="1" applyAlignment="1">
      <alignment vertical="center"/>
    </xf>
    <xf numFmtId="194" fontId="9" fillId="0" borderId="15" xfId="0" applyNumberFormat="1" applyFont="1" applyBorder="1" applyAlignment="1">
      <alignment vertical="center"/>
    </xf>
    <xf numFmtId="194" fontId="9" fillId="0" borderId="28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>
      <alignment horizontal="center" vertical="center"/>
    </xf>
    <xf numFmtId="191" fontId="7" fillId="0" borderId="14" xfId="0" applyNumberFormat="1" applyFont="1" applyFill="1" applyBorder="1" applyAlignment="1" applyProtection="1">
      <alignment vertical="center"/>
      <protection/>
    </xf>
    <xf numFmtId="191" fontId="2" fillId="0" borderId="30" xfId="0" applyNumberFormat="1" applyFont="1" applyFill="1" applyBorder="1" applyAlignment="1" applyProtection="1">
      <alignment horizontal="center"/>
      <protection/>
    </xf>
    <xf numFmtId="191" fontId="2" fillId="0" borderId="31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193" fontId="8" fillId="0" borderId="32" xfId="0" applyNumberFormat="1" applyFont="1" applyFill="1" applyBorder="1" applyAlignment="1" applyProtection="1">
      <alignment horizontal="center" vertical="center"/>
      <protection/>
    </xf>
    <xf numFmtId="193" fontId="8" fillId="0" borderId="33" xfId="0" applyNumberFormat="1" applyFont="1" applyFill="1" applyBorder="1" applyAlignment="1" applyProtection="1">
      <alignment horizontal="center" vertical="center"/>
      <protection/>
    </xf>
    <xf numFmtId="193" fontId="8" fillId="0" borderId="34" xfId="0" applyNumberFormat="1" applyFont="1" applyFill="1" applyBorder="1" applyAlignment="1" applyProtection="1">
      <alignment horizontal="center" vertical="center"/>
      <protection/>
    </xf>
    <xf numFmtId="193" fontId="8" fillId="0" borderId="24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193" fontId="8" fillId="0" borderId="0" xfId="0" applyNumberFormat="1" applyFont="1" applyFill="1" applyBorder="1" applyAlignment="1" applyProtection="1">
      <alignment vertical="center"/>
      <protection/>
    </xf>
    <xf numFmtId="193" fontId="8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187" fontId="2" fillId="0" borderId="2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6" fillId="0" borderId="0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 applyProtection="1">
      <alignment horizontal="center" vertical="center"/>
      <protection/>
    </xf>
    <xf numFmtId="3" fontId="8" fillId="0" borderId="24" xfId="0" applyNumberFormat="1" applyFont="1" applyFill="1" applyBorder="1" applyAlignment="1" applyProtection="1">
      <alignment horizontal="center" vertical="center"/>
      <protection/>
    </xf>
    <xf numFmtId="194" fontId="8" fillId="0" borderId="20" xfId="0" applyNumberFormat="1" applyFont="1" applyFill="1" applyBorder="1" applyAlignment="1" applyProtection="1">
      <alignment horizontal="center" vertical="center"/>
      <protection/>
    </xf>
    <xf numFmtId="187" fontId="6" fillId="0" borderId="0" xfId="57" applyNumberFormat="1" applyFont="1" applyAlignment="1">
      <alignment vertical="center"/>
    </xf>
    <xf numFmtId="3" fontId="8" fillId="0" borderId="20" xfId="0" applyNumberFormat="1" applyFont="1" applyFill="1" applyBorder="1" applyAlignment="1" applyProtection="1">
      <alignment horizontal="center" vertical="center"/>
      <protection/>
    </xf>
    <xf numFmtId="194" fontId="8" fillId="0" borderId="35" xfId="0" applyNumberFormat="1" applyFont="1" applyFill="1" applyBorder="1" applyAlignment="1" applyProtection="1">
      <alignment horizontal="center" vertical="center"/>
      <protection/>
    </xf>
    <xf numFmtId="194" fontId="8" fillId="0" borderId="36" xfId="0" applyNumberFormat="1" applyFont="1" applyFill="1" applyBorder="1" applyAlignment="1" applyProtection="1">
      <alignment horizontal="center" vertical="center"/>
      <protection/>
    </xf>
    <xf numFmtId="194" fontId="8" fillId="0" borderId="37" xfId="0" applyNumberFormat="1" applyFont="1" applyFill="1" applyBorder="1" applyAlignment="1" applyProtection="1">
      <alignment horizontal="center" vertical="center"/>
      <protection/>
    </xf>
    <xf numFmtId="37" fontId="9" fillId="0" borderId="26" xfId="0" applyNumberFormat="1" applyFont="1" applyBorder="1" applyAlignment="1">
      <alignment vertical="center"/>
    </xf>
    <xf numFmtId="37" fontId="9" fillId="0" borderId="23" xfId="0" applyNumberFormat="1" applyFont="1" applyBorder="1" applyAlignment="1">
      <alignment horizontal="right" vertical="center"/>
    </xf>
    <xf numFmtId="37" fontId="9" fillId="0" borderId="23" xfId="0" applyNumberFormat="1" applyFont="1" applyBorder="1" applyAlignment="1">
      <alignment vertical="center"/>
    </xf>
    <xf numFmtId="37" fontId="9" fillId="0" borderId="24" xfId="0" applyNumberFormat="1" applyFont="1" applyBorder="1" applyAlignment="1">
      <alignment vertical="center"/>
    </xf>
    <xf numFmtId="37" fontId="6" fillId="0" borderId="24" xfId="0" applyNumberFormat="1" applyFont="1" applyBorder="1" applyAlignment="1">
      <alignment vertical="center"/>
    </xf>
    <xf numFmtId="193" fontId="8" fillId="0" borderId="35" xfId="0" applyNumberFormat="1" applyFont="1" applyFill="1" applyBorder="1" applyAlignment="1" applyProtection="1">
      <alignment vertical="center"/>
      <protection/>
    </xf>
    <xf numFmtId="193" fontId="8" fillId="0" borderId="36" xfId="0" applyNumberFormat="1" applyFont="1" applyFill="1" applyBorder="1" applyAlignment="1" applyProtection="1">
      <alignment vertical="center"/>
      <protection/>
    </xf>
    <xf numFmtId="193" fontId="8" fillId="0" borderId="36" xfId="0" applyNumberFormat="1" applyFont="1" applyFill="1" applyBorder="1" applyAlignment="1" applyProtection="1">
      <alignment horizontal="right" vertical="center"/>
      <protection/>
    </xf>
    <xf numFmtId="193" fontId="8" fillId="0" borderId="37" xfId="0" applyNumberFormat="1" applyFont="1" applyFill="1" applyBorder="1" applyAlignment="1" applyProtection="1">
      <alignment vertical="center"/>
      <protection/>
    </xf>
    <xf numFmtId="193" fontId="8" fillId="0" borderId="38" xfId="0" applyNumberFormat="1" applyFont="1" applyFill="1" applyBorder="1" applyAlignment="1" applyProtection="1">
      <alignment vertical="center"/>
      <protection/>
    </xf>
    <xf numFmtId="3" fontId="8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37" fontId="2" fillId="0" borderId="19" xfId="0" applyNumberFormat="1" applyFont="1" applyFill="1" applyBorder="1" applyAlignment="1" applyProtection="1">
      <alignment horizontal="center" vertical="center" wrapText="1"/>
      <protection/>
    </xf>
    <xf numFmtId="37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vertical="center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191" fontId="7" fillId="0" borderId="16" xfId="0" applyNumberFormat="1" applyFont="1" applyFill="1" applyBorder="1" applyAlignment="1" applyProtection="1">
      <alignment vertical="center"/>
      <protection/>
    </xf>
    <xf numFmtId="191" fontId="7" fillId="0" borderId="17" xfId="0" applyNumberFormat="1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191" fontId="7" fillId="0" borderId="21" xfId="0" applyNumberFormat="1" applyFont="1" applyFill="1" applyBorder="1" applyAlignment="1" applyProtection="1">
      <alignment vertical="center"/>
      <protection/>
    </xf>
    <xf numFmtId="187" fontId="2" fillId="0" borderId="16" xfId="0" applyNumberFormat="1" applyFont="1" applyFill="1" applyBorder="1" applyAlignment="1">
      <alignment horizontal="center" vertical="center" wrapText="1"/>
    </xf>
    <xf numFmtId="187" fontId="3" fillId="0" borderId="17" xfId="0" applyNumberFormat="1" applyFont="1" applyBorder="1" applyAlignment="1">
      <alignment horizontal="center"/>
    </xf>
    <xf numFmtId="37" fontId="3" fillId="0" borderId="39" xfId="0" applyNumberFormat="1" applyFont="1" applyBorder="1" applyAlignment="1">
      <alignment horizontal="center"/>
    </xf>
    <xf numFmtId="0" fontId="7" fillId="0" borderId="25" xfId="0" applyFont="1" applyFill="1" applyBorder="1" applyAlignment="1" applyProtection="1">
      <alignment horizontal="center" vertical="center"/>
      <protection/>
    </xf>
    <xf numFmtId="0" fontId="0" fillId="0" borderId="40" xfId="0" applyBorder="1" applyAlignment="1">
      <alignment/>
    </xf>
    <xf numFmtId="0" fontId="7" fillId="0" borderId="32" xfId="0" applyFont="1" applyFill="1" applyBorder="1" applyAlignment="1" applyProtection="1">
      <alignment horizontal="center" vertical="center"/>
      <protection/>
    </xf>
    <xf numFmtId="37" fontId="7" fillId="0" borderId="33" xfId="0" applyNumberFormat="1" applyFont="1" applyFill="1" applyBorder="1" applyAlignment="1" applyProtection="1">
      <alignment vertical="center"/>
      <protection/>
    </xf>
    <xf numFmtId="191" fontId="7" fillId="0" borderId="33" xfId="0" applyNumberFormat="1" applyFont="1" applyFill="1" applyBorder="1" applyAlignment="1" applyProtection="1">
      <alignment vertical="center"/>
      <protection/>
    </xf>
    <xf numFmtId="187" fontId="8" fillId="0" borderId="0" xfId="0" applyNumberFormat="1" applyFont="1" applyFill="1" applyBorder="1" applyAlignment="1" applyProtection="1">
      <alignment vertical="center"/>
      <protection/>
    </xf>
    <xf numFmtId="187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 applyProtection="1">
      <alignment vertical="center"/>
      <protection/>
    </xf>
    <xf numFmtId="194" fontId="0" fillId="0" borderId="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/>
    </xf>
    <xf numFmtId="186" fontId="1" fillId="0" borderId="0" xfId="0" applyNumberFormat="1" applyFont="1" applyFill="1" applyBorder="1" applyAlignment="1">
      <alignment vertical="center"/>
    </xf>
    <xf numFmtId="187" fontId="9" fillId="0" borderId="0" xfId="57" applyNumberFormat="1" applyFont="1" applyAlignment="1">
      <alignment vertical="center"/>
    </xf>
    <xf numFmtId="187" fontId="9" fillId="0" borderId="0" xfId="0" applyNumberFormat="1" applyFont="1" applyAlignment="1">
      <alignment vertical="center"/>
    </xf>
    <xf numFmtId="187" fontId="9" fillId="0" borderId="0" xfId="57" applyNumberFormat="1" applyFont="1" applyBorder="1" applyAlignment="1">
      <alignment vertical="center"/>
    </xf>
    <xf numFmtId="186" fontId="9" fillId="0" borderId="0" xfId="0" applyNumberFormat="1" applyFont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194" fontId="8" fillId="0" borderId="0" xfId="0" applyNumberFormat="1" applyFont="1" applyFill="1" applyBorder="1" applyAlignment="1">
      <alignment vertical="center"/>
    </xf>
    <xf numFmtId="187" fontId="8" fillId="0" borderId="0" xfId="57" applyNumberFormat="1" applyFont="1" applyFill="1" applyBorder="1" applyAlignment="1">
      <alignment vertical="center"/>
    </xf>
    <xf numFmtId="187" fontId="1" fillId="0" borderId="0" xfId="57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Border="1" applyAlignment="1">
      <alignment vertical="center"/>
    </xf>
    <xf numFmtId="37" fontId="8" fillId="0" borderId="38" xfId="0" applyNumberFormat="1" applyFont="1" applyFill="1" applyBorder="1" applyAlignment="1" applyProtection="1">
      <alignment horizontal="center" vertical="center"/>
      <protection/>
    </xf>
    <xf numFmtId="3" fontId="8" fillId="0" borderId="36" xfId="0" applyNumberFormat="1" applyFont="1" applyFill="1" applyBorder="1" applyAlignment="1" applyProtection="1">
      <alignment horizontal="center" vertical="center"/>
      <protection/>
    </xf>
    <xf numFmtId="3" fontId="8" fillId="0" borderId="37" xfId="0" applyNumberFormat="1" applyFont="1" applyFill="1" applyBorder="1" applyAlignment="1" applyProtection="1">
      <alignment horizontal="center" vertical="center"/>
      <protection/>
    </xf>
    <xf numFmtId="193" fontId="8" fillId="0" borderId="21" xfId="0" applyNumberFormat="1" applyFont="1" applyFill="1" applyBorder="1" applyAlignment="1" applyProtection="1">
      <alignment horizontal="center" vertical="center"/>
      <protection/>
    </xf>
    <xf numFmtId="193" fontId="8" fillId="0" borderId="16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Alignment="1">
      <alignment/>
    </xf>
    <xf numFmtId="4" fontId="9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4" fontId="0" fillId="0" borderId="41" xfId="0" applyNumberFormat="1" applyFont="1" applyFill="1" applyBorder="1" applyAlignment="1">
      <alignment horizontal="center" vertical="center"/>
    </xf>
    <xf numFmtId="4" fontId="0" fillId="0" borderId="42" xfId="0" applyNumberFormat="1" applyFont="1" applyFill="1" applyBorder="1" applyAlignment="1">
      <alignment horizontal="center" vertical="center"/>
    </xf>
    <xf numFmtId="37" fontId="9" fillId="0" borderId="15" xfId="0" applyNumberFormat="1" applyFont="1" applyBorder="1" applyAlignment="1">
      <alignment vertical="center"/>
    </xf>
    <xf numFmtId="194" fontId="8" fillId="0" borderId="22" xfId="0" applyNumberFormat="1" applyFont="1" applyFill="1" applyBorder="1" applyAlignment="1" applyProtection="1">
      <alignment horizontal="center" vertical="center"/>
      <protection/>
    </xf>
    <xf numFmtId="194" fontId="8" fillId="0" borderId="23" xfId="0" applyNumberFormat="1" applyFont="1" applyFill="1" applyBorder="1" applyAlignment="1" applyProtection="1">
      <alignment horizontal="center" vertical="center"/>
      <protection/>
    </xf>
    <xf numFmtId="194" fontId="8" fillId="0" borderId="24" xfId="0" applyNumberFormat="1" applyFont="1" applyFill="1" applyBorder="1" applyAlignment="1" applyProtection="1">
      <alignment horizontal="center" vertical="center"/>
      <protection/>
    </xf>
    <xf numFmtId="193" fontId="8" fillId="0" borderId="23" xfId="0" applyNumberFormat="1" applyFont="1" applyFill="1" applyBorder="1" applyAlignment="1" applyProtection="1">
      <alignment horizontal="right" vertical="center"/>
      <protection/>
    </xf>
    <xf numFmtId="0" fontId="3" fillId="0" borderId="33" xfId="0" applyFont="1" applyBorder="1" applyAlignment="1">
      <alignment horizontal="center"/>
    </xf>
    <xf numFmtId="186" fontId="3" fillId="0" borderId="34" xfId="0" applyNumberFormat="1" applyFont="1" applyBorder="1" applyAlignment="1">
      <alignment horizontal="center"/>
    </xf>
    <xf numFmtId="186" fontId="3" fillId="0" borderId="33" xfId="0" applyNumberFormat="1" applyFont="1" applyBorder="1" applyAlignment="1">
      <alignment horizontal="center"/>
    </xf>
    <xf numFmtId="3" fontId="8" fillId="0" borderId="38" xfId="0" applyNumberFormat="1" applyFont="1" applyFill="1" applyBorder="1" applyAlignment="1" applyProtection="1">
      <alignment horizontal="center" vertical="center"/>
      <protection/>
    </xf>
    <xf numFmtId="186" fontId="3" fillId="0" borderId="43" xfId="0" applyNumberFormat="1" applyFont="1" applyBorder="1" applyAlignment="1">
      <alignment horizontal="center"/>
    </xf>
    <xf numFmtId="194" fontId="9" fillId="0" borderId="0" xfId="0" applyNumberFormat="1" applyFont="1" applyBorder="1" applyAlignment="1">
      <alignment vertical="center"/>
    </xf>
    <xf numFmtId="37" fontId="8" fillId="0" borderId="26" xfId="0" applyNumberFormat="1" applyFont="1" applyFill="1" applyBorder="1" applyAlignment="1" applyProtection="1">
      <alignment horizontal="center" vertical="center"/>
      <protection/>
    </xf>
    <xf numFmtId="193" fontId="8" fillId="0" borderId="44" xfId="0" applyNumberFormat="1" applyFont="1" applyFill="1" applyBorder="1" applyAlignment="1" applyProtection="1">
      <alignment vertical="center"/>
      <protection/>
    </xf>
    <xf numFmtId="0" fontId="0" fillId="0" borderId="45" xfId="0" applyBorder="1" applyAlignment="1">
      <alignment/>
    </xf>
    <xf numFmtId="0" fontId="7" fillId="0" borderId="39" xfId="0" applyFont="1" applyFill="1" applyBorder="1" applyAlignment="1">
      <alignment horizontal="center" vertical="center"/>
    </xf>
    <xf numFmtId="37" fontId="7" fillId="0" borderId="31" xfId="0" applyNumberFormat="1" applyFont="1" applyFill="1" applyBorder="1" applyAlignment="1" applyProtection="1">
      <alignment vertical="center"/>
      <protection/>
    </xf>
    <xf numFmtId="191" fontId="7" fillId="0" borderId="31" xfId="0" applyNumberFormat="1" applyFont="1" applyFill="1" applyBorder="1" applyAlignment="1" applyProtection="1">
      <alignment vertical="center"/>
      <protection/>
    </xf>
    <xf numFmtId="37" fontId="8" fillId="0" borderId="31" xfId="0" applyNumberFormat="1" applyFont="1" applyFill="1" applyBorder="1" applyAlignment="1" applyProtection="1">
      <alignment vertical="center"/>
      <protection/>
    </xf>
    <xf numFmtId="37" fontId="9" fillId="0" borderId="31" xfId="0" applyNumberFormat="1" applyFont="1" applyBorder="1" applyAlignment="1">
      <alignment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10" xfId="0" applyBorder="1" applyAlignment="1">
      <alignment/>
    </xf>
    <xf numFmtId="3" fontId="9" fillId="0" borderId="48" xfId="0" applyNumberFormat="1" applyFont="1" applyBorder="1" applyAlignment="1">
      <alignment/>
    </xf>
    <xf numFmtId="3" fontId="0" fillId="0" borderId="0" xfId="0" applyNumberFormat="1" applyAlignment="1">
      <alignment/>
    </xf>
    <xf numFmtId="0" fontId="7" fillId="32" borderId="49" xfId="0" applyFont="1" applyFill="1" applyBorder="1" applyAlignment="1">
      <alignment vertical="center"/>
    </xf>
    <xf numFmtId="0" fontId="7" fillId="32" borderId="33" xfId="0" applyFont="1" applyFill="1" applyBorder="1" applyAlignment="1" applyProtection="1">
      <alignment horizontal="center" vertical="center"/>
      <protection/>
    </xf>
    <xf numFmtId="0" fontId="7" fillId="32" borderId="33" xfId="0" applyFont="1" applyFill="1" applyBorder="1" applyAlignment="1" applyProtection="1">
      <alignment horizontal="left" vertical="center"/>
      <protection/>
    </xf>
    <xf numFmtId="0" fontId="7" fillId="32" borderId="43" xfId="0" applyFont="1" applyFill="1" applyBorder="1" applyAlignment="1" applyProtection="1">
      <alignment horizontal="left" vertical="center"/>
      <protection/>
    </xf>
    <xf numFmtId="0" fontId="7" fillId="32" borderId="34" xfId="0" applyFont="1" applyFill="1" applyBorder="1" applyAlignment="1" applyProtection="1">
      <alignment horizontal="left" vertical="center"/>
      <protection/>
    </xf>
    <xf numFmtId="0" fontId="7" fillId="2" borderId="50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 applyProtection="1">
      <alignment horizontal="center" vertical="center" wrapText="1"/>
      <protection/>
    </xf>
    <xf numFmtId="0" fontId="7" fillId="33" borderId="50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 applyProtection="1">
      <alignment horizontal="center" vertical="center" wrapText="1"/>
      <protection/>
    </xf>
    <xf numFmtId="0" fontId="3" fillId="32" borderId="51" xfId="0" applyFont="1" applyFill="1" applyBorder="1" applyAlignment="1">
      <alignment horizontal="left" vertical="center" wrapText="1"/>
    </xf>
    <xf numFmtId="0" fontId="7" fillId="33" borderId="52" xfId="0" applyFont="1" applyFill="1" applyBorder="1" applyAlignment="1" applyProtection="1">
      <alignment horizontal="center" vertical="center" wrapText="1"/>
      <protection/>
    </xf>
    <xf numFmtId="0" fontId="7" fillId="2" borderId="53" xfId="0" applyFont="1" applyFill="1" applyBorder="1" applyAlignment="1" applyProtection="1">
      <alignment horizontal="center" vertical="center" wrapText="1"/>
      <protection/>
    </xf>
    <xf numFmtId="0" fontId="7" fillId="2" borderId="54" xfId="0" applyFont="1" applyFill="1" applyBorder="1" applyAlignment="1" applyProtection="1">
      <alignment horizontal="center" vertical="center" wrapText="1"/>
      <protection/>
    </xf>
    <xf numFmtId="0" fontId="7" fillId="2" borderId="52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 applyProtection="1">
      <alignment horizontal="center" vertical="center" wrapText="1"/>
      <protection/>
    </xf>
    <xf numFmtId="0" fontId="7" fillId="2" borderId="5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2" borderId="56" xfId="0" applyFont="1" applyFill="1" applyBorder="1" applyAlignment="1" applyProtection="1">
      <alignment horizontal="center" vertical="center" wrapText="1"/>
      <protection/>
    </xf>
    <xf numFmtId="0" fontId="7" fillId="2" borderId="59" xfId="0" applyFont="1" applyFill="1" applyBorder="1" applyAlignment="1" applyProtection="1">
      <alignment horizontal="center" vertical="center" wrapText="1"/>
      <protection/>
    </xf>
    <xf numFmtId="0" fontId="2" fillId="2" borderId="50" xfId="0" applyFont="1" applyFill="1" applyBorder="1" applyAlignment="1" applyProtection="1">
      <alignment horizontal="center"/>
      <protection/>
    </xf>
    <xf numFmtId="0" fontId="2" fillId="2" borderId="60" xfId="0" applyFont="1" applyFill="1" applyBorder="1" applyAlignment="1" applyProtection="1">
      <alignment horizontal="center"/>
      <protection/>
    </xf>
    <xf numFmtId="0" fontId="2" fillId="32" borderId="49" xfId="0" applyFont="1" applyFill="1" applyBorder="1" applyAlignment="1" applyProtection="1">
      <alignment horizontal="center"/>
      <protection/>
    </xf>
    <xf numFmtId="0" fontId="2" fillId="32" borderId="33" xfId="0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>
      <alignment horizontal="center"/>
    </xf>
    <xf numFmtId="0" fontId="3" fillId="32" borderId="33" xfId="0" applyFont="1" applyFill="1" applyBorder="1" applyAlignment="1">
      <alignment horizontal="center"/>
    </xf>
    <xf numFmtId="0" fontId="3" fillId="32" borderId="34" xfId="0" applyFont="1" applyFill="1" applyBorder="1" applyAlignment="1">
      <alignment horizontal="center"/>
    </xf>
    <xf numFmtId="0" fontId="7" fillId="32" borderId="61" xfId="0" applyFont="1" applyFill="1" applyBorder="1" applyAlignment="1" applyProtection="1">
      <alignment horizontal="center" vertical="center"/>
      <protection/>
    </xf>
    <xf numFmtId="0" fontId="7" fillId="32" borderId="47" xfId="0" applyFont="1" applyFill="1" applyBorder="1" applyAlignment="1" applyProtection="1">
      <alignment horizontal="center" vertical="center"/>
      <protection/>
    </xf>
    <xf numFmtId="188" fontId="7" fillId="32" borderId="47" xfId="0" applyNumberFormat="1" applyFont="1" applyFill="1" applyBorder="1" applyAlignment="1" applyProtection="1">
      <alignment horizontal="center" vertical="center"/>
      <protection/>
    </xf>
    <xf numFmtId="188" fontId="7" fillId="32" borderId="62" xfId="0" applyNumberFormat="1" applyFont="1" applyFill="1" applyBorder="1" applyAlignment="1" applyProtection="1">
      <alignment horizontal="center" vertical="center"/>
      <protection/>
    </xf>
    <xf numFmtId="188" fontId="7" fillId="32" borderId="63" xfId="0" applyNumberFormat="1" applyFont="1" applyFill="1" applyBorder="1" applyAlignment="1" applyProtection="1">
      <alignment horizontal="center" vertical="center"/>
      <protection/>
    </xf>
    <xf numFmtId="0" fontId="7" fillId="32" borderId="49" xfId="0" applyFont="1" applyFill="1" applyBorder="1" applyAlignment="1" applyProtection="1">
      <alignment horizontal="center" vertical="center"/>
      <protection/>
    </xf>
    <xf numFmtId="1" fontId="7" fillId="32" borderId="33" xfId="0" applyNumberFormat="1" applyFont="1" applyFill="1" applyBorder="1" applyAlignment="1" applyProtection="1">
      <alignment horizontal="center" vertical="center"/>
      <protection/>
    </xf>
    <xf numFmtId="1" fontId="7" fillId="32" borderId="43" xfId="0" applyNumberFormat="1" applyFont="1" applyFill="1" applyBorder="1" applyAlignment="1" applyProtection="1">
      <alignment horizontal="center" vertical="center"/>
      <protection/>
    </xf>
    <xf numFmtId="1" fontId="7" fillId="32" borderId="64" xfId="0" applyNumberFormat="1" applyFont="1" applyFill="1" applyBorder="1" applyAlignment="1" applyProtection="1">
      <alignment horizontal="center" vertical="center"/>
      <protection/>
    </xf>
    <xf numFmtId="0" fontId="7" fillId="32" borderId="49" xfId="0" applyFont="1" applyFill="1" applyBorder="1" applyAlignment="1" applyProtection="1" quotePrefix="1">
      <alignment horizontal="center" vertical="center"/>
      <protection/>
    </xf>
    <xf numFmtId="0" fontId="7" fillId="32" borderId="33" xfId="0" applyFont="1" applyFill="1" applyBorder="1" applyAlignment="1" applyProtection="1" quotePrefix="1">
      <alignment horizontal="center" vertical="center"/>
      <protection/>
    </xf>
    <xf numFmtId="0" fontId="7" fillId="32" borderId="34" xfId="0" applyFont="1" applyFill="1" applyBorder="1" applyAlignment="1" applyProtection="1" quotePrefix="1">
      <alignment horizontal="center" vertical="center"/>
      <protection/>
    </xf>
    <xf numFmtId="0" fontId="7" fillId="32" borderId="43" xfId="0" applyFont="1" applyFill="1" applyBorder="1" applyAlignment="1" applyProtection="1">
      <alignment horizontal="center" vertical="center"/>
      <protection/>
    </xf>
    <xf numFmtId="0" fontId="7" fillId="2" borderId="59" xfId="0" applyFont="1" applyFill="1" applyBorder="1" applyAlignment="1" applyProtection="1">
      <alignment horizontal="center" vertical="center"/>
      <protection/>
    </xf>
    <xf numFmtId="0" fontId="7" fillId="2" borderId="57" xfId="0" applyFont="1" applyFill="1" applyBorder="1" applyAlignment="1" applyProtection="1">
      <alignment horizontal="center" vertical="center"/>
      <protection/>
    </xf>
    <xf numFmtId="0" fontId="7" fillId="2" borderId="58" xfId="0" applyFont="1" applyFill="1" applyBorder="1" applyAlignment="1" applyProtection="1">
      <alignment horizontal="center" vertical="center"/>
      <protection/>
    </xf>
    <xf numFmtId="0" fontId="7" fillId="2" borderId="56" xfId="0" applyFont="1" applyFill="1" applyBorder="1" applyAlignment="1" applyProtection="1">
      <alignment horizontal="center" vertical="center"/>
      <protection/>
    </xf>
    <xf numFmtId="0" fontId="7" fillId="2" borderId="57" xfId="0" applyFont="1" applyFill="1" applyBorder="1" applyAlignment="1">
      <alignment horizontal="center" vertical="center" wrapText="1"/>
    </xf>
    <xf numFmtId="0" fontId="8" fillId="32" borderId="49" xfId="0" applyFont="1" applyFill="1" applyBorder="1" applyAlignment="1">
      <alignment horizontal="center" vertical="center"/>
    </xf>
    <xf numFmtId="0" fontId="8" fillId="32" borderId="49" xfId="0" applyFont="1" applyFill="1" applyBorder="1" applyAlignment="1" applyProtection="1">
      <alignment horizontal="center" vertical="center"/>
      <protection/>
    </xf>
    <xf numFmtId="0" fontId="7" fillId="32" borderId="33" xfId="0" applyFont="1" applyFill="1" applyBorder="1" applyAlignment="1" applyProtection="1">
      <alignment vertical="center"/>
      <protection/>
    </xf>
    <xf numFmtId="0" fontId="6" fillId="32" borderId="33" xfId="0" applyFont="1" applyFill="1" applyBorder="1" applyAlignment="1">
      <alignment horizontal="left" vertical="center"/>
    </xf>
    <xf numFmtId="0" fontId="6" fillId="32" borderId="34" xfId="0" applyFont="1" applyFill="1" applyBorder="1" applyAlignment="1">
      <alignment horizontal="left" vertical="center"/>
    </xf>
    <xf numFmtId="0" fontId="9" fillId="32" borderId="61" xfId="0" applyFont="1" applyFill="1" applyBorder="1" applyAlignment="1">
      <alignment vertical="center"/>
    </xf>
    <xf numFmtId="0" fontId="6" fillId="32" borderId="47" xfId="0" applyFont="1" applyFill="1" applyBorder="1" applyAlignment="1">
      <alignment horizontal="center" vertical="center"/>
    </xf>
    <xf numFmtId="0" fontId="6" fillId="32" borderId="65" xfId="0" applyFont="1" applyFill="1" applyBorder="1" applyAlignment="1">
      <alignment horizontal="center" vertical="center"/>
    </xf>
    <xf numFmtId="0" fontId="6" fillId="32" borderId="61" xfId="0" applyFont="1" applyFill="1" applyBorder="1" applyAlignment="1">
      <alignment vertical="center"/>
    </xf>
    <xf numFmtId="0" fontId="6" fillId="32" borderId="47" xfId="0" applyFont="1" applyFill="1" applyBorder="1" applyAlignment="1">
      <alignment vertical="center"/>
    </xf>
    <xf numFmtId="0" fontId="6" fillId="32" borderId="65" xfId="0" applyFont="1" applyFill="1" applyBorder="1" applyAlignment="1">
      <alignment vertical="center"/>
    </xf>
    <xf numFmtId="0" fontId="6" fillId="32" borderId="66" xfId="0" applyFont="1" applyFill="1" applyBorder="1" applyAlignment="1">
      <alignment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1" fontId="7" fillId="32" borderId="49" xfId="0" applyNumberFormat="1" applyFont="1" applyFill="1" applyBorder="1" applyAlignment="1" applyProtection="1">
      <alignment horizontal="center" vertical="center"/>
      <protection/>
    </xf>
    <xf numFmtId="1" fontId="7" fillId="32" borderId="33" xfId="0" applyNumberFormat="1" applyFont="1" applyFill="1" applyBorder="1" applyAlignment="1" applyProtection="1" quotePrefix="1">
      <alignment horizontal="center" vertical="center"/>
      <protection/>
    </xf>
    <xf numFmtId="1" fontId="7" fillId="32" borderId="43" xfId="0" applyNumberFormat="1" applyFont="1" applyFill="1" applyBorder="1" applyAlignment="1" applyProtection="1" quotePrefix="1">
      <alignment horizontal="center" vertical="center"/>
      <protection/>
    </xf>
    <xf numFmtId="1" fontId="7" fillId="32" borderId="64" xfId="0" applyNumberFormat="1" applyFont="1" applyFill="1" applyBorder="1" applyAlignment="1" applyProtection="1" quotePrefix="1">
      <alignment horizontal="center" vertical="center"/>
      <protection/>
    </xf>
    <xf numFmtId="0" fontId="7" fillId="32" borderId="34" xfId="0" applyFont="1" applyFill="1" applyBorder="1" applyAlignment="1" applyProtection="1">
      <alignment horizontal="center" vertical="center"/>
      <protection/>
    </xf>
    <xf numFmtId="0" fontId="6" fillId="32" borderId="43" xfId="0" applyFont="1" applyFill="1" applyBorder="1" applyAlignment="1">
      <alignment horizontal="left" vertical="center"/>
    </xf>
    <xf numFmtId="0" fontId="6" fillId="33" borderId="50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 applyProtection="1">
      <alignment horizontal="center" vertical="center" wrapText="1"/>
      <protection/>
    </xf>
    <xf numFmtId="0" fontId="7" fillId="33" borderId="58" xfId="0" applyFont="1" applyFill="1" applyBorder="1" applyAlignment="1" applyProtection="1">
      <alignment horizontal="center" vertical="center" wrapText="1"/>
      <protection/>
    </xf>
    <xf numFmtId="0" fontId="7" fillId="33" borderId="56" xfId="0" applyFont="1" applyFill="1" applyBorder="1" applyAlignment="1" applyProtection="1">
      <alignment horizontal="center" vertical="center" wrapText="1"/>
      <protection/>
    </xf>
    <xf numFmtId="0" fontId="7" fillId="32" borderId="64" xfId="0" applyFont="1" applyFill="1" applyBorder="1" applyAlignment="1" applyProtection="1">
      <alignment horizontal="center" vertical="center"/>
      <protection/>
    </xf>
    <xf numFmtId="0" fontId="7" fillId="32" borderId="49" xfId="0" applyFont="1" applyFill="1" applyBorder="1" applyAlignment="1" applyProtection="1" quotePrefix="1">
      <alignment horizontal="left" vertical="center"/>
      <protection/>
    </xf>
    <xf numFmtId="0" fontId="7" fillId="32" borderId="33" xfId="0" applyFont="1" applyFill="1" applyBorder="1" applyAlignment="1" applyProtection="1" quotePrefix="1">
      <alignment horizontal="left" vertical="center"/>
      <protection/>
    </xf>
    <xf numFmtId="0" fontId="7" fillId="33" borderId="55" xfId="0" applyFont="1" applyFill="1" applyBorder="1" applyAlignment="1" applyProtection="1">
      <alignment horizontal="center" vertical="center" wrapText="1"/>
      <protection/>
    </xf>
    <xf numFmtId="0" fontId="7" fillId="32" borderId="62" xfId="0" applyFont="1" applyFill="1" applyBorder="1" applyAlignment="1" applyProtection="1">
      <alignment horizontal="center" vertical="center"/>
      <protection/>
    </xf>
    <xf numFmtId="0" fontId="7" fillId="32" borderId="63" xfId="0" applyFont="1" applyFill="1" applyBorder="1" applyAlignment="1" applyProtection="1">
      <alignment horizontal="center" vertical="center"/>
      <protection/>
    </xf>
    <xf numFmtId="0" fontId="7" fillId="32" borderId="61" xfId="0" applyFont="1" applyFill="1" applyBorder="1" applyAlignment="1" applyProtection="1" quotePrefix="1">
      <alignment horizontal="left" vertical="center"/>
      <protection/>
    </xf>
    <xf numFmtId="0" fontId="7" fillId="32" borderId="47" xfId="0" applyFont="1" applyFill="1" applyBorder="1" applyAlignment="1" applyProtection="1" quotePrefix="1">
      <alignment horizontal="left" vertical="center"/>
      <protection/>
    </xf>
    <xf numFmtId="0" fontId="7" fillId="32" borderId="67" xfId="0" applyFont="1" applyFill="1" applyBorder="1" applyAlignment="1" applyProtection="1">
      <alignment horizontal="center" vertical="center"/>
      <protection/>
    </xf>
    <xf numFmtId="0" fontId="7" fillId="33" borderId="50" xfId="0" applyFont="1" applyFill="1" applyBorder="1" applyAlignment="1" applyProtection="1">
      <alignment horizontal="center" vertical="center"/>
      <protection/>
    </xf>
    <xf numFmtId="0" fontId="7" fillId="33" borderId="53" xfId="0" applyFont="1" applyFill="1" applyBorder="1" applyAlignment="1" applyProtection="1">
      <alignment horizontal="center" vertical="center" wrapText="1"/>
      <protection/>
    </xf>
    <xf numFmtId="0" fontId="7" fillId="32" borderId="43" xfId="0" applyFont="1" applyFill="1" applyBorder="1" applyAlignment="1" applyProtection="1" quotePrefix="1">
      <alignment horizontal="center" vertical="center"/>
      <protection/>
    </xf>
    <xf numFmtId="0" fontId="7" fillId="32" borderId="32" xfId="0" applyFont="1" applyFill="1" applyBorder="1" applyAlignment="1" applyProtection="1">
      <alignment horizontal="center" vertical="center"/>
      <protection/>
    </xf>
    <xf numFmtId="193" fontId="8" fillId="0" borderId="68" xfId="0" applyNumberFormat="1" applyFont="1" applyFill="1" applyBorder="1" applyAlignment="1" applyProtection="1">
      <alignment vertical="center"/>
      <protection/>
    </xf>
    <xf numFmtId="193" fontId="8" fillId="0" borderId="46" xfId="0" applyNumberFormat="1" applyFont="1" applyFill="1" applyBorder="1" applyAlignment="1" applyProtection="1">
      <alignment vertical="center"/>
      <protection/>
    </xf>
    <xf numFmtId="193" fontId="8" fillId="0" borderId="69" xfId="0" applyNumberFormat="1" applyFont="1" applyFill="1" applyBorder="1" applyAlignment="1" applyProtection="1">
      <alignment vertical="center"/>
      <protection/>
    </xf>
    <xf numFmtId="0" fontId="7" fillId="32" borderId="45" xfId="0" applyFont="1" applyFill="1" applyBorder="1" applyAlignment="1" applyProtection="1">
      <alignment horizontal="center" vertical="center"/>
      <protection/>
    </xf>
    <xf numFmtId="193" fontId="8" fillId="0" borderId="24" xfId="0" applyNumberFormat="1" applyFont="1" applyFill="1" applyBorder="1" applyAlignment="1" applyProtection="1">
      <alignment horizontal="center" vertical="center"/>
      <protection/>
    </xf>
    <xf numFmtId="193" fontId="8" fillId="0" borderId="26" xfId="0" applyNumberFormat="1" applyFont="1" applyFill="1" applyBorder="1" applyAlignment="1" applyProtection="1">
      <alignment horizontal="center" vertical="center"/>
      <protection/>
    </xf>
    <xf numFmtId="193" fontId="8" fillId="0" borderId="23" xfId="0" applyNumberFormat="1" applyFont="1" applyFill="1" applyBorder="1" applyAlignment="1" applyProtection="1">
      <alignment horizontal="center" vertical="center"/>
      <protection/>
    </xf>
    <xf numFmtId="0" fontId="7" fillId="32" borderId="67" xfId="0" applyFont="1" applyFill="1" applyBorder="1" applyAlignment="1" applyProtection="1" quotePrefix="1">
      <alignment horizontal="center" vertical="center"/>
      <protection/>
    </xf>
    <xf numFmtId="193" fontId="8" fillId="0" borderId="44" xfId="0" applyNumberFormat="1" applyFont="1" applyFill="1" applyBorder="1" applyAlignment="1" applyProtection="1">
      <alignment horizontal="center" vertical="center"/>
      <protection/>
    </xf>
    <xf numFmtId="193" fontId="8" fillId="0" borderId="46" xfId="0" applyNumberFormat="1" applyFont="1" applyFill="1" applyBorder="1" applyAlignment="1" applyProtection="1">
      <alignment horizontal="center" vertical="center"/>
      <protection/>
    </xf>
    <xf numFmtId="193" fontId="9" fillId="0" borderId="0" xfId="0" applyNumberFormat="1" applyFont="1" applyBorder="1" applyAlignment="1">
      <alignment vertical="center"/>
    </xf>
    <xf numFmtId="193" fontId="8" fillId="0" borderId="22" xfId="0" applyNumberFormat="1" applyFont="1" applyFill="1" applyBorder="1" applyAlignment="1" applyProtection="1">
      <alignment vertical="center"/>
      <protection/>
    </xf>
    <xf numFmtId="0" fontId="7" fillId="32" borderId="67" xfId="0" applyFont="1" applyFill="1" applyBorder="1" applyAlignment="1" applyProtection="1" quotePrefix="1">
      <alignment horizontal="left" vertical="center"/>
      <protection/>
    </xf>
    <xf numFmtId="0" fontId="7" fillId="32" borderId="45" xfId="0" applyFont="1" applyFill="1" applyBorder="1" applyAlignment="1" applyProtection="1" quotePrefix="1">
      <alignment horizontal="left" vertical="center"/>
      <protection/>
    </xf>
    <xf numFmtId="0" fontId="14" fillId="0" borderId="0" xfId="0" applyFont="1" applyFill="1" applyBorder="1" applyAlignment="1">
      <alignment vertical="center"/>
    </xf>
    <xf numFmtId="187" fontId="0" fillId="0" borderId="0" xfId="57" applyNumberFormat="1" applyFont="1" applyAlignment="1">
      <alignment/>
    </xf>
    <xf numFmtId="198" fontId="6" fillId="0" borderId="0" xfId="0" applyNumberFormat="1" applyFont="1" applyAlignment="1">
      <alignment vertical="center"/>
    </xf>
    <xf numFmtId="0" fontId="7" fillId="32" borderId="34" xfId="0" applyFont="1" applyFill="1" applyBorder="1" applyAlignment="1" applyProtection="1" quotePrefix="1">
      <alignment horizontal="left" vertical="center"/>
      <protection/>
    </xf>
    <xf numFmtId="37" fontId="6" fillId="0" borderId="0" xfId="0" applyNumberFormat="1" applyFont="1" applyAlignment="1">
      <alignment vertical="center"/>
    </xf>
    <xf numFmtId="37" fontId="6" fillId="0" borderId="34" xfId="0" applyNumberFormat="1" applyFont="1" applyBorder="1" applyAlignment="1">
      <alignment vertical="center"/>
    </xf>
    <xf numFmtId="210" fontId="8" fillId="0" borderId="47" xfId="0" applyNumberFormat="1" applyFont="1" applyFill="1" applyBorder="1" applyAlignment="1" applyProtection="1">
      <alignment horizontal="center" vertical="center"/>
      <protection/>
    </xf>
    <xf numFmtId="187" fontId="0" fillId="0" borderId="0" xfId="0" applyNumberFormat="1" applyAlignment="1">
      <alignment/>
    </xf>
    <xf numFmtId="37" fontId="9" fillId="0" borderId="20" xfId="0" applyNumberFormat="1" applyFont="1" applyBorder="1" applyAlignment="1">
      <alignment horizontal="right" vertical="center"/>
    </xf>
    <xf numFmtId="37" fontId="9" fillId="0" borderId="14" xfId="0" applyNumberFormat="1" applyFont="1" applyBorder="1" applyAlignment="1">
      <alignment horizontal="right" vertical="center"/>
    </xf>
    <xf numFmtId="37" fontId="9" fillId="0" borderId="14" xfId="0" applyNumberFormat="1" applyFont="1" applyBorder="1" applyAlignment="1">
      <alignment vertical="center"/>
    </xf>
    <xf numFmtId="0" fontId="7" fillId="0" borderId="49" xfId="0" applyFont="1" applyFill="1" applyBorder="1" applyAlignment="1" applyProtection="1">
      <alignment horizontal="center" vertical="center"/>
      <protection/>
    </xf>
    <xf numFmtId="188" fontId="7" fillId="32" borderId="66" xfId="0" applyNumberFormat="1" applyFont="1" applyFill="1" applyBorder="1" applyAlignment="1" applyProtection="1">
      <alignment horizontal="center" vertical="center"/>
      <protection/>
    </xf>
    <xf numFmtId="3" fontId="8" fillId="0" borderId="27" xfId="0" applyNumberFormat="1" applyFont="1" applyFill="1" applyBorder="1" applyAlignment="1" applyProtection="1">
      <alignment horizontal="center" vertical="center"/>
      <protection/>
    </xf>
    <xf numFmtId="3" fontId="8" fillId="0" borderId="29" xfId="0" applyNumberFormat="1" applyFont="1" applyFill="1" applyBorder="1" applyAlignment="1" applyProtection="1">
      <alignment horizontal="center" vertical="center"/>
      <protection/>
    </xf>
    <xf numFmtId="0" fontId="7" fillId="2" borderId="70" xfId="0" applyFont="1" applyFill="1" applyBorder="1" applyAlignment="1" applyProtection="1">
      <alignment horizontal="center" vertical="center"/>
      <protection/>
    </xf>
    <xf numFmtId="0" fontId="11" fillId="2" borderId="53" xfId="0" applyFont="1" applyFill="1" applyBorder="1" applyAlignment="1" applyProtection="1">
      <alignment horizontal="center" vertical="center" wrapText="1"/>
      <protection/>
    </xf>
    <xf numFmtId="0" fontId="11" fillId="2" borderId="54" xfId="0" applyFont="1" applyFill="1" applyBorder="1" applyAlignment="1" applyProtection="1">
      <alignment horizontal="center" vertical="center" wrapText="1"/>
      <protection/>
    </xf>
    <xf numFmtId="0" fontId="11" fillId="2" borderId="52" xfId="0" applyFont="1" applyFill="1" applyBorder="1" applyAlignment="1" applyProtection="1">
      <alignment horizontal="center" vertical="center" wrapText="1"/>
      <protection/>
    </xf>
    <xf numFmtId="187" fontId="8" fillId="0" borderId="29" xfId="57" applyNumberFormat="1" applyFont="1" applyFill="1" applyBorder="1" applyAlignment="1" applyProtection="1">
      <alignment horizontal="center" vertical="center"/>
      <protection/>
    </xf>
    <xf numFmtId="187" fontId="8" fillId="0" borderId="25" xfId="57" applyNumberFormat="1" applyFont="1" applyFill="1" applyBorder="1" applyAlignment="1" applyProtection="1">
      <alignment horizontal="center" vertical="center"/>
      <protection/>
    </xf>
    <xf numFmtId="187" fontId="8" fillId="0" borderId="24" xfId="57" applyNumberFormat="1" applyFont="1" applyFill="1" applyBorder="1" applyAlignment="1" applyProtection="1">
      <alignment horizontal="center" vertical="center"/>
      <protection/>
    </xf>
    <xf numFmtId="187" fontId="8" fillId="0" borderId="11" xfId="57" applyNumberFormat="1" applyFont="1" applyFill="1" applyBorder="1" applyAlignment="1" applyProtection="1">
      <alignment horizontal="center" vertical="center"/>
      <protection/>
    </xf>
    <xf numFmtId="187" fontId="8" fillId="0" borderId="37" xfId="57" applyNumberFormat="1" applyFont="1" applyFill="1" applyBorder="1" applyAlignment="1" applyProtection="1">
      <alignment horizontal="center" vertical="center"/>
      <protection/>
    </xf>
    <xf numFmtId="187" fontId="8" fillId="0" borderId="10" xfId="57" applyNumberFormat="1" applyFont="1" applyFill="1" applyBorder="1" applyAlignment="1" applyProtection="1">
      <alignment horizontal="center" vertical="center"/>
      <protection/>
    </xf>
    <xf numFmtId="4" fontId="0" fillId="0" borderId="71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3" fillId="34" borderId="38" xfId="0" applyFont="1" applyFill="1" applyBorder="1" applyAlignment="1">
      <alignment horizontal="center" vertical="center"/>
    </xf>
    <xf numFmtId="0" fontId="3" fillId="34" borderId="72" xfId="0" applyFont="1" applyFill="1" applyBorder="1" applyAlignment="1">
      <alignment horizontal="center" vertical="center"/>
    </xf>
    <xf numFmtId="4" fontId="3" fillId="35" borderId="0" xfId="0" applyNumberFormat="1" applyFont="1" applyFill="1" applyBorder="1" applyAlignment="1">
      <alignment horizontal="center" vertical="center" wrapText="1"/>
    </xf>
    <xf numFmtId="4" fontId="3" fillId="35" borderId="73" xfId="0" applyNumberFormat="1" applyFont="1" applyFill="1" applyBorder="1" applyAlignment="1">
      <alignment horizontal="center" vertical="center" wrapText="1"/>
    </xf>
    <xf numFmtId="4" fontId="0" fillId="0" borderId="73" xfId="0" applyNumberFormat="1" applyFont="1" applyFill="1" applyBorder="1" applyAlignment="1">
      <alignment horizontal="center" vertical="center"/>
    </xf>
    <xf numFmtId="0" fontId="3" fillId="32" borderId="74" xfId="0" applyFont="1" applyFill="1" applyBorder="1" applyAlignment="1">
      <alignment horizontal="left" vertical="center" wrapText="1"/>
    </xf>
    <xf numFmtId="4" fontId="0" fillId="0" borderId="75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/>
    </xf>
    <xf numFmtId="4" fontId="3" fillId="35" borderId="72" xfId="0" applyNumberFormat="1" applyFont="1" applyFill="1" applyBorder="1" applyAlignment="1">
      <alignment horizontal="center" vertical="center" wrapText="1"/>
    </xf>
    <xf numFmtId="4" fontId="0" fillId="0" borderId="51" xfId="0" applyNumberFormat="1" applyFont="1" applyFill="1" applyBorder="1" applyAlignment="1">
      <alignment horizontal="center" vertical="center"/>
    </xf>
    <xf numFmtId="4" fontId="0" fillId="0" borderId="76" xfId="0" applyNumberFormat="1" applyFont="1" applyFill="1" applyBorder="1" applyAlignment="1">
      <alignment horizontal="center" vertical="center"/>
    </xf>
    <xf numFmtId="4" fontId="0" fillId="0" borderId="74" xfId="0" applyNumberFormat="1" applyFont="1" applyFill="1" applyBorder="1" applyAlignment="1">
      <alignment horizontal="center" vertical="center"/>
    </xf>
    <xf numFmtId="4" fontId="0" fillId="0" borderId="77" xfId="0" applyNumberFormat="1" applyFont="1" applyFill="1" applyBorder="1" applyAlignment="1">
      <alignment horizontal="center" vertical="center"/>
    </xf>
    <xf numFmtId="4" fontId="0" fillId="0" borderId="78" xfId="0" applyNumberFormat="1" applyFont="1" applyFill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/>
    </xf>
    <xf numFmtId="4" fontId="3" fillId="35" borderId="58" xfId="0" applyNumberFormat="1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/>
    </xf>
    <xf numFmtId="4" fontId="0" fillId="0" borderId="76" xfId="0" applyNumberFormat="1" applyFont="1" applyFill="1" applyBorder="1" applyAlignment="1">
      <alignment horizontal="center" vertical="center"/>
    </xf>
    <xf numFmtId="0" fontId="3" fillId="32" borderId="78" xfId="0" applyFont="1" applyFill="1" applyBorder="1" applyAlignment="1">
      <alignment horizontal="left" vertical="center" wrapText="1"/>
    </xf>
    <xf numFmtId="4" fontId="0" fillId="0" borderId="29" xfId="0" applyNumberFormat="1" applyFont="1" applyFill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/>
    </xf>
    <xf numFmtId="0" fontId="3" fillId="34" borderId="79" xfId="0" applyFont="1" applyFill="1" applyBorder="1" applyAlignment="1">
      <alignment horizontal="center" vertical="center"/>
    </xf>
    <xf numFmtId="0" fontId="3" fillId="34" borderId="80" xfId="0" applyFont="1" applyFill="1" applyBorder="1" applyAlignment="1">
      <alignment horizontal="center" vertical="center"/>
    </xf>
    <xf numFmtId="4" fontId="3" fillId="35" borderId="81" xfId="0" applyNumberFormat="1" applyFont="1" applyFill="1" applyBorder="1" applyAlignment="1">
      <alignment horizontal="center" vertical="center" wrapText="1"/>
    </xf>
    <xf numFmtId="4" fontId="3" fillId="35" borderId="80" xfId="0" applyNumberFormat="1" applyFont="1" applyFill="1" applyBorder="1" applyAlignment="1">
      <alignment horizontal="center" vertical="center" wrapText="1"/>
    </xf>
    <xf numFmtId="4" fontId="3" fillId="35" borderId="82" xfId="0" applyNumberFormat="1" applyFont="1" applyFill="1" applyBorder="1" applyAlignment="1">
      <alignment horizontal="center" vertical="center" wrapText="1"/>
    </xf>
    <xf numFmtId="4" fontId="3" fillId="35" borderId="83" xfId="0" applyNumberFormat="1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84" xfId="0" applyNumberFormat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4" fontId="0" fillId="0" borderId="39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31" xfId="0" applyNumberFormat="1" applyFill="1" applyBorder="1" applyAlignment="1">
      <alignment horizontal="center" vertical="center"/>
    </xf>
    <xf numFmtId="4" fontId="0" fillId="0" borderId="85" xfId="0" applyNumberFormat="1" applyBorder="1" applyAlignment="1">
      <alignment horizontal="center" vertical="center"/>
    </xf>
    <xf numFmtId="4" fontId="0" fillId="0" borderId="73" xfId="0" applyNumberFormat="1" applyFill="1" applyBorder="1" applyAlignment="1">
      <alignment horizontal="center" vertical="center"/>
    </xf>
    <xf numFmtId="4" fontId="0" fillId="0" borderId="86" xfId="0" applyNumberFormat="1" applyFont="1" applyFill="1" applyBorder="1" applyAlignment="1">
      <alignment horizontal="center" vertical="center"/>
    </xf>
    <xf numFmtId="4" fontId="0" fillId="0" borderId="87" xfId="0" applyNumberFormat="1" applyFont="1" applyFill="1" applyBorder="1" applyAlignment="1">
      <alignment horizontal="center" vertical="center"/>
    </xf>
    <xf numFmtId="4" fontId="0" fillId="0" borderId="88" xfId="0" applyNumberFormat="1" applyFont="1" applyFill="1" applyBorder="1" applyAlignment="1">
      <alignment horizontal="center" vertical="center"/>
    </xf>
    <xf numFmtId="4" fontId="0" fillId="0" borderId="89" xfId="0" applyNumberFormat="1" applyFont="1" applyFill="1" applyBorder="1" applyAlignment="1">
      <alignment horizontal="center" vertical="center"/>
    </xf>
    <xf numFmtId="4" fontId="0" fillId="0" borderId="40" xfId="0" applyNumberFormat="1" applyFont="1" applyFill="1" applyBorder="1" applyAlignment="1">
      <alignment horizontal="center" vertical="center"/>
    </xf>
    <xf numFmtId="4" fontId="0" fillId="0" borderId="90" xfId="0" applyNumberFormat="1" applyFont="1" applyFill="1" applyBorder="1" applyAlignment="1">
      <alignment horizontal="center" vertical="center"/>
    </xf>
    <xf numFmtId="4" fontId="0" fillId="0" borderId="48" xfId="0" applyNumberFormat="1" applyFont="1" applyFill="1" applyBorder="1" applyAlignment="1">
      <alignment horizontal="center" vertical="center"/>
    </xf>
    <xf numFmtId="0" fontId="3" fillId="32" borderId="87" xfId="0" applyFont="1" applyFill="1" applyBorder="1" applyAlignment="1">
      <alignment horizontal="left" vertical="center"/>
    </xf>
    <xf numFmtId="0" fontId="3" fillId="32" borderId="51" xfId="0" applyFont="1" applyFill="1" applyBorder="1" applyAlignment="1">
      <alignment horizontal="left" vertical="center"/>
    </xf>
    <xf numFmtId="0" fontId="3" fillId="32" borderId="74" xfId="0" applyFont="1" applyFill="1" applyBorder="1" applyAlignment="1">
      <alignment horizontal="left" vertical="center"/>
    </xf>
    <xf numFmtId="0" fontId="3" fillId="32" borderId="91" xfId="0" applyFont="1" applyFill="1" applyBorder="1" applyAlignment="1">
      <alignment horizontal="left" vertical="center" wrapText="1"/>
    </xf>
    <xf numFmtId="0" fontId="3" fillId="32" borderId="76" xfId="0" applyFont="1" applyFill="1" applyBorder="1" applyAlignment="1">
      <alignment horizontal="left" vertical="center" wrapText="1"/>
    </xf>
    <xf numFmtId="0" fontId="3" fillId="32" borderId="77" xfId="0" applyFont="1" applyFill="1" applyBorder="1" applyAlignment="1">
      <alignment horizontal="left" vertical="center"/>
    </xf>
    <xf numFmtId="0" fontId="3" fillId="32" borderId="78" xfId="0" applyFont="1" applyFill="1" applyBorder="1" applyAlignment="1">
      <alignment horizontal="left" vertical="center"/>
    </xf>
    <xf numFmtId="4" fontId="0" fillId="0" borderId="46" xfId="0" applyNumberFormat="1" applyFont="1" applyFill="1" applyBorder="1" applyAlignment="1">
      <alignment horizontal="center" vertical="center"/>
    </xf>
    <xf numFmtId="193" fontId="8" fillId="0" borderId="20" xfId="0" applyNumberFormat="1" applyFont="1" applyFill="1" applyBorder="1" applyAlignment="1" applyProtection="1">
      <alignment horizontal="center"/>
      <protection/>
    </xf>
    <xf numFmtId="193" fontId="8" fillId="0" borderId="2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37" fontId="9" fillId="0" borderId="0" xfId="0" applyNumberFormat="1" applyFont="1" applyAlignment="1">
      <alignment vertical="center"/>
    </xf>
    <xf numFmtId="37" fontId="6" fillId="0" borderId="47" xfId="0" applyNumberFormat="1" applyFont="1" applyBorder="1" applyAlignment="1">
      <alignment vertical="center"/>
    </xf>
    <xf numFmtId="187" fontId="8" fillId="0" borderId="36" xfId="57" applyNumberFormat="1" applyFont="1" applyFill="1" applyBorder="1" applyAlignment="1" applyProtection="1">
      <alignment horizontal="center" vertical="center"/>
      <protection/>
    </xf>
    <xf numFmtId="193" fontId="8" fillId="0" borderId="10" xfId="0" applyNumberFormat="1" applyFont="1" applyFill="1" applyBorder="1" applyAlignment="1" applyProtection="1">
      <alignment horizontal="center"/>
      <protection/>
    </xf>
    <xf numFmtId="193" fontId="8" fillId="0" borderId="16" xfId="0" applyNumberFormat="1" applyFont="1" applyFill="1" applyBorder="1" applyAlignment="1" applyProtection="1">
      <alignment horizontal="center"/>
      <protection/>
    </xf>
    <xf numFmtId="0" fontId="7" fillId="33" borderId="70" xfId="0" applyFont="1" applyFill="1" applyBorder="1" applyAlignment="1" applyProtection="1">
      <alignment horizontal="center" vertical="center"/>
      <protection/>
    </xf>
    <xf numFmtId="0" fontId="7" fillId="33" borderId="92" xfId="0" applyFont="1" applyFill="1" applyBorder="1" applyAlignment="1" applyProtection="1">
      <alignment horizontal="center" vertical="center" wrapText="1"/>
      <protection/>
    </xf>
    <xf numFmtId="0" fontId="7" fillId="33" borderId="54" xfId="0" applyFont="1" applyFill="1" applyBorder="1" applyAlignment="1" applyProtection="1">
      <alignment horizontal="center" vertical="center" wrapText="1"/>
      <protection/>
    </xf>
    <xf numFmtId="212" fontId="9" fillId="0" borderId="0" xfId="0" applyNumberFormat="1" applyFont="1" applyBorder="1" applyAlignment="1">
      <alignment vertical="center"/>
    </xf>
    <xf numFmtId="187" fontId="8" fillId="0" borderId="23" xfId="57" applyNumberFormat="1" applyFont="1" applyFill="1" applyBorder="1" applyAlignment="1" applyProtection="1">
      <alignment horizontal="center" vertical="center"/>
      <protection/>
    </xf>
    <xf numFmtId="193" fontId="9" fillId="0" borderId="33" xfId="0" applyNumberFormat="1" applyFont="1" applyFill="1" applyBorder="1" applyAlignment="1" applyProtection="1">
      <alignment horizontal="center" vertical="center"/>
      <protection/>
    </xf>
    <xf numFmtId="193" fontId="9" fillId="0" borderId="20" xfId="0" applyNumberFormat="1" applyFont="1" applyFill="1" applyBorder="1" applyAlignment="1" applyProtection="1">
      <alignment horizontal="center"/>
      <protection/>
    </xf>
    <xf numFmtId="193" fontId="8" fillId="0" borderId="76" xfId="0" applyNumberFormat="1" applyFont="1" applyFill="1" applyBorder="1" applyAlignment="1" applyProtection="1">
      <alignment vertical="center"/>
      <protection/>
    </xf>
    <xf numFmtId="193" fontId="8" fillId="0" borderId="51" xfId="0" applyNumberFormat="1" applyFont="1" applyFill="1" applyBorder="1" applyAlignment="1" applyProtection="1">
      <alignment horizontal="center"/>
      <protection/>
    </xf>
    <xf numFmtId="193" fontId="8" fillId="0" borderId="74" xfId="0" applyNumberFormat="1" applyFont="1" applyFill="1" applyBorder="1" applyAlignment="1" applyProtection="1">
      <alignment horizontal="center"/>
      <protection/>
    </xf>
    <xf numFmtId="193" fontId="8" fillId="0" borderId="16" xfId="0" applyNumberFormat="1" applyFont="1" applyFill="1" applyBorder="1" applyAlignment="1" applyProtection="1">
      <alignment horizontal="right" vertical="center"/>
      <protection/>
    </xf>
    <xf numFmtId="210" fontId="8" fillId="0" borderId="21" xfId="0" applyNumberFormat="1" applyFont="1" applyFill="1" applyBorder="1" applyAlignment="1" applyProtection="1">
      <alignment horizontal="center" vertical="center"/>
      <protection/>
    </xf>
    <xf numFmtId="0" fontId="7" fillId="33" borderId="93" xfId="0" applyFont="1" applyFill="1" applyBorder="1" applyAlignment="1" applyProtection="1">
      <alignment horizontal="center" vertical="center" wrapText="1"/>
      <protection/>
    </xf>
    <xf numFmtId="193" fontId="9" fillId="0" borderId="51" xfId="0" applyNumberFormat="1" applyFont="1" applyFill="1" applyBorder="1" applyAlignment="1" applyProtection="1">
      <alignment horizontal="center"/>
      <protection/>
    </xf>
    <xf numFmtId="1" fontId="7" fillId="32" borderId="34" xfId="0" applyNumberFormat="1" applyFont="1" applyFill="1" applyBorder="1" applyAlignment="1" applyProtection="1">
      <alignment horizontal="center" vertical="center"/>
      <protection/>
    </xf>
    <xf numFmtId="37" fontId="8" fillId="0" borderId="21" xfId="0" applyNumberFormat="1" applyFont="1" applyFill="1" applyBorder="1" applyAlignment="1" applyProtection="1">
      <alignment horizontal="center" vertical="center"/>
      <protection/>
    </xf>
    <xf numFmtId="3" fontId="8" fillId="0" borderId="16" xfId="0" applyNumberFormat="1" applyFont="1" applyFill="1" applyBorder="1" applyAlignment="1" applyProtection="1">
      <alignment horizontal="center" vertical="center"/>
      <protection/>
    </xf>
    <xf numFmtId="3" fontId="8" fillId="0" borderId="17" xfId="0" applyNumberFormat="1" applyFont="1" applyFill="1" applyBorder="1" applyAlignment="1" applyProtection="1">
      <alignment horizontal="center" vertical="center"/>
      <protection/>
    </xf>
    <xf numFmtId="193" fontId="8" fillId="0" borderId="65" xfId="0" applyNumberFormat="1" applyFont="1" applyFill="1" applyBorder="1" applyAlignment="1" applyProtection="1">
      <alignment horizontal="center" vertical="center"/>
      <protection/>
    </xf>
    <xf numFmtId="1" fontId="7" fillId="32" borderId="34" xfId="0" applyNumberFormat="1" applyFont="1" applyFill="1" applyBorder="1" applyAlignment="1" applyProtection="1" quotePrefix="1">
      <alignment horizontal="center" vertical="center"/>
      <protection/>
    </xf>
    <xf numFmtId="194" fontId="8" fillId="0" borderId="15" xfId="0" applyNumberFormat="1" applyFont="1" applyFill="1" applyBorder="1" applyAlignment="1" applyProtection="1">
      <alignment horizontal="center" vertical="center"/>
      <protection/>
    </xf>
    <xf numFmtId="194" fontId="8" fillId="0" borderId="16" xfId="0" applyNumberFormat="1" applyFont="1" applyFill="1" applyBorder="1" applyAlignment="1" applyProtection="1">
      <alignment horizontal="center" vertical="center"/>
      <protection/>
    </xf>
    <xf numFmtId="194" fontId="8" fillId="0" borderId="17" xfId="0" applyNumberFormat="1" applyFont="1" applyFill="1" applyBorder="1" applyAlignment="1" applyProtection="1">
      <alignment horizontal="center" vertical="center"/>
      <protection/>
    </xf>
    <xf numFmtId="0" fontId="7" fillId="32" borderId="65" xfId="0" applyFont="1" applyFill="1" applyBorder="1" applyAlignment="1" applyProtection="1">
      <alignment horizontal="center" vertical="center"/>
      <protection/>
    </xf>
    <xf numFmtId="188" fontId="7" fillId="32" borderId="65" xfId="0" applyNumberFormat="1" applyFont="1" applyFill="1" applyBorder="1" applyAlignment="1" applyProtection="1">
      <alignment horizontal="center" vertical="center"/>
      <protection/>
    </xf>
    <xf numFmtId="3" fontId="8" fillId="0" borderId="21" xfId="0" applyNumberFormat="1" applyFont="1" applyFill="1" applyBorder="1" applyAlignment="1" applyProtection="1">
      <alignment horizontal="center" vertical="center"/>
      <protection/>
    </xf>
    <xf numFmtId="187" fontId="8" fillId="0" borderId="16" xfId="57" applyNumberFormat="1" applyFont="1" applyFill="1" applyBorder="1" applyAlignment="1" applyProtection="1">
      <alignment horizontal="center" vertical="center"/>
      <protection/>
    </xf>
    <xf numFmtId="187" fontId="8" fillId="0" borderId="17" xfId="57" applyNumberFormat="1" applyFont="1" applyFill="1" applyBorder="1" applyAlignment="1" applyProtection="1">
      <alignment horizontal="center"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Alignment="1">
      <alignment/>
    </xf>
    <xf numFmtId="0" fontId="7" fillId="33" borderId="50" xfId="0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/>
    </xf>
    <xf numFmtId="0" fontId="7" fillId="32" borderId="20" xfId="0" applyFont="1" applyFill="1" applyBorder="1" applyAlignment="1" applyProtection="1">
      <alignment horizontal="center" vertical="center"/>
      <protection/>
    </xf>
    <xf numFmtId="0" fontId="7" fillId="32" borderId="11" xfId="0" applyFont="1" applyFill="1" applyBorder="1" applyAlignment="1" applyProtection="1">
      <alignment horizontal="center" vertical="center"/>
      <protection/>
    </xf>
    <xf numFmtId="0" fontId="7" fillId="2" borderId="55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7" fillId="32" borderId="21" xfId="0" applyFont="1" applyFill="1" applyBorder="1" applyAlignment="1" applyProtection="1">
      <alignment horizontal="center" vertical="center"/>
      <protection/>
    </xf>
    <xf numFmtId="0" fontId="7" fillId="32" borderId="17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7" fillId="2" borderId="94" xfId="0" applyFont="1" applyFill="1" applyBorder="1" applyAlignment="1" applyProtection="1">
      <alignment horizontal="left" vertical="center"/>
      <protection/>
    </xf>
    <xf numFmtId="0" fontId="7" fillId="2" borderId="95" xfId="0" applyFont="1" applyFill="1" applyBorder="1" applyAlignment="1" applyProtection="1">
      <alignment horizontal="left" vertical="center"/>
      <protection/>
    </xf>
    <xf numFmtId="0" fontId="7" fillId="2" borderId="96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3" borderId="70" xfId="0" applyFont="1" applyFill="1" applyBorder="1" applyAlignment="1" applyProtection="1">
      <alignment horizontal="left" vertical="center"/>
      <protection/>
    </xf>
    <xf numFmtId="0" fontId="7" fillId="33" borderId="93" xfId="0" applyFont="1" applyFill="1" applyBorder="1" applyAlignment="1" applyProtection="1">
      <alignment horizontal="left" vertical="center"/>
      <protection/>
    </xf>
    <xf numFmtId="0" fontId="7" fillId="33" borderId="60" xfId="0" applyFont="1" applyFill="1" applyBorder="1" applyAlignment="1" applyProtection="1">
      <alignment horizontal="left" vertical="center"/>
      <protection/>
    </xf>
    <xf numFmtId="0" fontId="7" fillId="33" borderId="94" xfId="0" applyFont="1" applyFill="1" applyBorder="1" applyAlignment="1" applyProtection="1">
      <alignment horizontal="left" vertical="center"/>
      <protection/>
    </xf>
    <xf numFmtId="0" fontId="7" fillId="33" borderId="95" xfId="0" applyFont="1" applyFill="1" applyBorder="1" applyAlignment="1" applyProtection="1">
      <alignment horizontal="left" vertical="center"/>
      <protection/>
    </xf>
    <xf numFmtId="0" fontId="7" fillId="33" borderId="9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32" borderId="38" xfId="0" applyFont="1" applyFill="1" applyBorder="1" applyAlignment="1">
      <alignment horizontal="left" vertical="center" wrapText="1"/>
    </xf>
    <xf numFmtId="4" fontId="3" fillId="2" borderId="58" xfId="0" applyNumberFormat="1" applyFont="1" applyFill="1" applyBorder="1" applyAlignment="1">
      <alignment horizontal="center" vertical="center" wrapText="1"/>
    </xf>
    <xf numFmtId="4" fontId="3" fillId="2" borderId="36" xfId="0" applyNumberFormat="1" applyFont="1" applyFill="1" applyBorder="1" applyAlignment="1">
      <alignment horizontal="center" vertical="center" wrapText="1"/>
    </xf>
    <xf numFmtId="4" fontId="3" fillId="2" borderId="46" xfId="0" applyNumberFormat="1" applyFont="1" applyFill="1" applyBorder="1" applyAlignment="1">
      <alignment horizontal="center" vertical="center" wrapText="1"/>
    </xf>
    <xf numFmtId="4" fontId="3" fillId="2" borderId="96" xfId="0" applyNumberFormat="1" applyFont="1" applyFill="1" applyBorder="1" applyAlignment="1">
      <alignment horizontal="center" vertical="center" wrapText="1"/>
    </xf>
    <xf numFmtId="4" fontId="3" fillId="2" borderId="73" xfId="0" applyNumberFormat="1" applyFont="1" applyFill="1" applyBorder="1" applyAlignment="1">
      <alignment horizontal="center" vertical="center" wrapText="1"/>
    </xf>
    <xf numFmtId="4" fontId="3" fillId="2" borderId="48" xfId="0" applyNumberFormat="1" applyFont="1" applyFill="1" applyBorder="1" applyAlignment="1">
      <alignment horizontal="center" vertical="center" wrapText="1"/>
    </xf>
    <xf numFmtId="0" fontId="3" fillId="32" borderId="97" xfId="0" applyFont="1" applyFill="1" applyBorder="1" applyAlignment="1">
      <alignment horizontal="left" vertical="center" wrapText="1"/>
    </xf>
    <xf numFmtId="0" fontId="3" fillId="32" borderId="44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left" vertical="center" wrapText="1"/>
    </xf>
    <xf numFmtId="0" fontId="3" fillId="32" borderId="20" xfId="0" applyFont="1" applyFill="1" applyBorder="1" applyAlignment="1">
      <alignment horizontal="left" vertical="center" wrapText="1"/>
    </xf>
    <xf numFmtId="0" fontId="3" fillId="32" borderId="21" xfId="0" applyFont="1" applyFill="1" applyBorder="1" applyAlignment="1">
      <alignment horizontal="left" vertical="center" wrapText="1"/>
    </xf>
    <xf numFmtId="0" fontId="3" fillId="32" borderId="2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 quotePrefix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left" vertical="center" wrapText="1"/>
    </xf>
    <xf numFmtId="193" fontId="8" fillId="0" borderId="39" xfId="0" applyNumberFormat="1" applyFont="1" applyFill="1" applyBorder="1" applyAlignment="1" applyProtection="1">
      <alignment vertical="center"/>
      <protection/>
    </xf>
    <xf numFmtId="193" fontId="8" fillId="0" borderId="31" xfId="0" applyNumberFormat="1" applyFont="1" applyFill="1" applyBorder="1" applyAlignment="1" applyProtection="1">
      <alignment horizontal="center"/>
      <protection/>
    </xf>
    <xf numFmtId="193" fontId="9" fillId="0" borderId="31" xfId="0" applyNumberFormat="1" applyFont="1" applyFill="1" applyBorder="1" applyAlignment="1" applyProtection="1">
      <alignment horizontal="center"/>
      <protection/>
    </xf>
    <xf numFmtId="193" fontId="8" fillId="0" borderId="85" xfId="0" applyNumberFormat="1" applyFont="1" applyFill="1" applyBorder="1" applyAlignment="1" applyProtection="1">
      <alignment horizontal="center"/>
      <protection/>
    </xf>
    <xf numFmtId="193" fontId="9" fillId="0" borderId="34" xfId="0" applyNumberFormat="1" applyFont="1" applyFill="1" applyBorder="1" applyAlignment="1" applyProtection="1">
      <alignment horizontal="center" vertical="center"/>
      <protection/>
    </xf>
    <xf numFmtId="193" fontId="9" fillId="0" borderId="21" xfId="0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9"/>
      <c:hPercent val="49"/>
      <c:rotY val="19"/>
      <c:depthPercent val="100"/>
      <c:rAngAx val="1"/>
    </c:view3D>
    <c:plotArea>
      <c:layout>
        <c:manualLayout>
          <c:xMode val="edge"/>
          <c:yMode val="edge"/>
          <c:x val="0.021"/>
          <c:y val="0.00625"/>
          <c:w val="0.909"/>
          <c:h val="0.92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0000"/>
                        </a:solidFill>
                      </a:rPr>
                      <a:t>134,1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0000"/>
                        </a:solidFill>
                      </a:rPr>
                      <a:t>181,4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0000"/>
                        </a:solidFill>
                      </a:rPr>
                      <a:t>229,1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0000"/>
                        </a:solidFill>
                      </a:rPr>
                      <a:t>282,9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0000"/>
                        </a:solidFill>
                      </a:rPr>
                      <a:t>322,8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'G-DE-1 CliProTot,70-21'!$S$5:$S$26</c:f>
              <c:numCache/>
            </c:numRef>
          </c:cat>
          <c:val>
            <c:numRef>
              <c:f>'G-DE-1 CliProTot,70-21'!$T$5:$T$26</c:f>
              <c:numCache/>
            </c:numRef>
          </c:val>
          <c:shape val="box"/>
        </c:ser>
        <c:shape val="box"/>
        <c:axId val="36641579"/>
        <c:axId val="61338756"/>
      </c:bar3DChart>
      <c:catAx>
        <c:axId val="36641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7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338756"/>
        <c:crosses val="autoZero"/>
        <c:auto val="1"/>
        <c:lblOffset val="100"/>
        <c:tickLblSkip val="1"/>
        <c:noMultiLvlLbl val="0"/>
      </c:catAx>
      <c:valAx>
        <c:axId val="61338756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-0.05625"/>
              <c:y val="-0.0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6641579"/>
        <c:crossesAt val="1"/>
        <c:crossBetween val="between"/>
        <c:dispUnits/>
        <c:min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2045"/>
          <c:w val="0.86175"/>
          <c:h val="0.53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8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'G-DE-2 CliProXEmp,21'!$K$4:$M$4</c:f>
              <c:strCache/>
            </c:strRef>
          </c:cat>
          <c:val>
            <c:numRef>
              <c:f>'G-DE-2 CliProXEmp,21'!$K$5:$M$5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'G-DE-2 CliProXEmp,21'!$K$4:$M$4</c:f>
              <c:strCache/>
            </c:strRef>
          </c:cat>
          <c:val>
            <c:numRef>
              <c:f>'G-DE-2 CliProXEmp,21'!$K$6:$M$6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CCCFF"/>
        </a:gs>
        <a:gs pos="50000">
          <a:srgbClr val="CCFFFF"/>
        </a:gs>
        <a:gs pos="100000">
          <a:srgbClr val="CCCC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575"/>
          <c:y val="0.35025"/>
          <c:w val="0.84325"/>
          <c:h val="0.42425"/>
        </c:manualLayout>
      </c:layout>
      <c:pie3DChart>
        <c:varyColors val="1"/>
        <c:ser>
          <c:idx val="3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'G-DE-3 VenEneElecXClaSer,21'!$M$9:$M$16</c:f>
              <c:strCache/>
            </c:strRef>
          </c:cat>
          <c:val>
            <c:numRef>
              <c:f>'G-DE-3 VenEneElecXClaSer,21'!$R$9:$R$16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95"/>
          <c:y val="0.223"/>
          <c:w val="0.93575"/>
          <c:h val="0.55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'G-DE-4 VenEneElecXEmp,21'!$K$5:$M$5</c:f>
              <c:strCache/>
            </c:strRef>
          </c:cat>
          <c:val>
            <c:numRef>
              <c:f>'G-DE-4 VenEneElecXEmp,21'!$K$7:$M$7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8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5"/>
          <c:y val="0.29475"/>
          <c:w val="0.745"/>
          <c:h val="0.50425"/>
        </c:manualLayout>
      </c:layout>
      <c:pie3DChart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'G-DE-5 VenReEleXCSer-EDEMET,21'!$L$9:$L$14</c:f>
              <c:strCache/>
            </c:strRef>
          </c:cat>
          <c:val>
            <c:numRef>
              <c:f>'G-DE-5 VenReEleXCSer-EDEMET,21'!$M$9:$M$14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25"/>
          <c:y val="0.302"/>
          <c:w val="0.787"/>
          <c:h val="0.477"/>
        </c:manualLayout>
      </c:layout>
      <c:pie3DChart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'G-DE-6 VenReEleXCSer-ENSA,21'!$K$9:$K$14</c:f>
              <c:strCache/>
            </c:strRef>
          </c:cat>
          <c:val>
            <c:numRef>
              <c:f>'G-DE-6 VenReEleXCSer-ENSA,21'!$L$9:$L$14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"/>
          <c:y val="0.31575"/>
          <c:w val="0.7735"/>
          <c:h val="0.4885"/>
        </c:manualLayout>
      </c:layout>
      <c:pie3DChart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'G-DE-7 VenReEleXCSer-EDECHI,21'!$L$9:$L$14</c:f>
              <c:strCache/>
            </c:strRef>
          </c:cat>
          <c:val>
            <c:numRef>
              <c:f>'G-DE-7 VenReEleXCSer-EDECHI,21'!$M$9:$M$14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1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16</xdr:col>
      <xdr:colOff>219075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180975" y="571500"/>
        <a:ext cx="114871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0.77275</cdr:x>
      <cdr:y>0.828</cdr:y>
    </cdr:from>
    <cdr:to>
      <cdr:x>0.77275</cdr:x>
      <cdr:y>0.828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943475" y="3352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= 1,926.8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9</xdr:col>
      <xdr:colOff>695325</xdr:colOff>
      <xdr:row>25</xdr:row>
      <xdr:rowOff>57150</xdr:rowOff>
    </xdr:to>
    <xdr:graphicFrame>
      <xdr:nvGraphicFramePr>
        <xdr:cNvPr id="1" name="Chart 12"/>
        <xdr:cNvGraphicFramePr/>
      </xdr:nvGraphicFramePr>
      <xdr:xfrm>
        <a:off x="190500" y="762000"/>
        <a:ext cx="64008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85725</xdr:rowOff>
    </xdr:from>
    <xdr:to>
      <xdr:col>8</xdr:col>
      <xdr:colOff>552450</xdr:colOff>
      <xdr:row>21</xdr:row>
      <xdr:rowOff>171450</xdr:rowOff>
    </xdr:to>
    <xdr:graphicFrame>
      <xdr:nvGraphicFramePr>
        <xdr:cNvPr id="1" name="Gráfico 8"/>
        <xdr:cNvGraphicFramePr/>
      </xdr:nvGraphicFramePr>
      <xdr:xfrm>
        <a:off x="266700" y="657225"/>
        <a:ext cx="54673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4</xdr:row>
      <xdr:rowOff>9525</xdr:rowOff>
    </xdr:from>
    <xdr:to>
      <xdr:col>10</xdr:col>
      <xdr:colOff>561975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304800" y="771525"/>
        <a:ext cx="68675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</cdr:x>
      <cdr:y>0.83125</cdr:y>
    </cdr:from>
    <cdr:to>
      <cdr:x>0.714</cdr:x>
      <cdr:y>0.83125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76700" y="3219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= 3,578.0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</xdr:row>
      <xdr:rowOff>19050</xdr:rowOff>
    </xdr:from>
    <xdr:to>
      <xdr:col>9</xdr:col>
      <xdr:colOff>66675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247650" y="781050"/>
        <a:ext cx="57150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</cdr:x>
      <cdr:y>0.856</cdr:y>
    </cdr:from>
    <cdr:to>
      <cdr:x>0.779</cdr:x>
      <cdr:y>0.856</cdr:y>
    </cdr:to>
    <cdr:sp>
      <cdr:nvSpPr>
        <cdr:cNvPr id="1" name="Text Box 2049"/>
        <cdr:cNvSpPr txBox="1">
          <a:spLocks noChangeArrowheads="1"/>
        </cdr:cNvSpPr>
      </cdr:nvSpPr>
      <cdr:spPr>
        <a:xfrm>
          <a:off x="4933950" y="3219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= 1,926.8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9</xdr:col>
      <xdr:colOff>628650</xdr:colOff>
      <xdr:row>23</xdr:row>
      <xdr:rowOff>171450</xdr:rowOff>
    </xdr:to>
    <xdr:graphicFrame>
      <xdr:nvGraphicFramePr>
        <xdr:cNvPr id="1" name="Chart 4"/>
        <xdr:cNvGraphicFramePr/>
      </xdr:nvGraphicFramePr>
      <xdr:xfrm>
        <a:off x="190500" y="790575"/>
        <a:ext cx="63341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</cdr:x>
      <cdr:y>0.8315</cdr:y>
    </cdr:from>
    <cdr:to>
      <cdr:x>0.769</cdr:x>
      <cdr:y>0.8315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838700" y="3133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= 1,926.8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57150</xdr:rowOff>
    </xdr:from>
    <xdr:to>
      <xdr:col>9</xdr:col>
      <xdr:colOff>523875</xdr:colOff>
      <xdr:row>24</xdr:row>
      <xdr:rowOff>19050</xdr:rowOff>
    </xdr:to>
    <xdr:graphicFrame>
      <xdr:nvGraphicFramePr>
        <xdr:cNvPr id="1" name="Chart 1026"/>
        <xdr:cNvGraphicFramePr/>
      </xdr:nvGraphicFramePr>
      <xdr:xfrm>
        <a:off x="123825" y="819150"/>
        <a:ext cx="62960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W33"/>
  <sheetViews>
    <sheetView zoomScalePageLayoutView="0" workbookViewId="0" topLeftCell="A1">
      <selection activeCell="B3" sqref="B3:P3"/>
    </sheetView>
  </sheetViews>
  <sheetFormatPr defaultColWidth="10.7109375" defaultRowHeight="15" customHeight="1"/>
  <cols>
    <col min="1" max="1" width="2.7109375" style="1" customWidth="1"/>
    <col min="2" max="13" width="10.7109375" style="1" customWidth="1"/>
    <col min="14" max="14" width="19.00390625" style="1" customWidth="1"/>
    <col min="15" max="17" width="10.7109375" style="1" customWidth="1"/>
    <col min="18" max="18" width="2.7109375" style="0" customWidth="1"/>
    <col min="19" max="20" width="10.7109375" style="1" customWidth="1"/>
  </cols>
  <sheetData>
    <row r="1" spans="2:17" ht="15" customHeight="1">
      <c r="B1" s="466" t="s">
        <v>101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2"/>
    </row>
    <row r="2" spans="2:17" ht="15" customHeight="1">
      <c r="B2" s="466" t="s">
        <v>26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2"/>
    </row>
    <row r="3" spans="2:17" ht="15" customHeight="1" thickBot="1">
      <c r="B3" s="466" t="s">
        <v>193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2"/>
    </row>
    <row r="4" spans="1:20" ht="1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65" t="s">
        <v>83</v>
      </c>
      <c r="T4" s="266" t="s">
        <v>118</v>
      </c>
    </row>
    <row r="5" spans="1:23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S5" s="267">
        <v>1970</v>
      </c>
      <c r="T5" s="136">
        <v>134.051</v>
      </c>
      <c r="W5" s="242"/>
    </row>
    <row r="6" spans="19:23" ht="15" customHeight="1">
      <c r="S6" s="268">
        <v>1975</v>
      </c>
      <c r="T6" s="137">
        <v>181.383</v>
      </c>
      <c r="W6" s="242"/>
    </row>
    <row r="7" spans="19:23" ht="15" customHeight="1">
      <c r="S7" s="268">
        <v>1980</v>
      </c>
      <c r="T7" s="137">
        <v>229.091</v>
      </c>
      <c r="W7" s="242"/>
    </row>
    <row r="8" spans="19:23" ht="15" customHeight="1">
      <c r="S8" s="268">
        <v>1985</v>
      </c>
      <c r="T8" s="137">
        <v>282.884</v>
      </c>
      <c r="W8" s="242"/>
    </row>
    <row r="9" spans="19:23" ht="15" customHeight="1">
      <c r="S9" s="268">
        <v>1990</v>
      </c>
      <c r="T9" s="137">
        <v>322.817</v>
      </c>
      <c r="W9" s="242"/>
    </row>
    <row r="10" spans="19:23" ht="15" customHeight="1">
      <c r="S10" s="268">
        <v>1995</v>
      </c>
      <c r="T10" s="137">
        <v>392.9</v>
      </c>
      <c r="W10" s="242"/>
    </row>
    <row r="11" spans="19:23" ht="15" customHeight="1">
      <c r="S11" s="268">
        <v>2000</v>
      </c>
      <c r="T11" s="137">
        <v>523.3</v>
      </c>
      <c r="W11" s="242"/>
    </row>
    <row r="12" spans="19:22" ht="15" customHeight="1">
      <c r="S12" s="270">
        <v>2005</v>
      </c>
      <c r="T12" s="224">
        <v>678.7</v>
      </c>
      <c r="V12" s="242"/>
    </row>
    <row r="13" spans="19:22" ht="15" customHeight="1">
      <c r="S13" s="270">
        <v>2008</v>
      </c>
      <c r="T13" s="226">
        <v>775.6</v>
      </c>
      <c r="V13" s="242"/>
    </row>
    <row r="14" spans="19:22" ht="15" customHeight="1">
      <c r="S14" s="270">
        <v>2009</v>
      </c>
      <c r="T14" s="226">
        <v>799.8</v>
      </c>
      <c r="V14" s="242"/>
    </row>
    <row r="15" spans="19:22" ht="15" customHeight="1">
      <c r="S15" s="269">
        <v>2010</v>
      </c>
      <c r="T15" s="228">
        <v>824.9</v>
      </c>
      <c r="V15" s="242"/>
    </row>
    <row r="16" spans="19:22" ht="15" customHeight="1">
      <c r="S16" s="270">
        <v>2011</v>
      </c>
      <c r="T16" s="226">
        <v>853.5</v>
      </c>
      <c r="V16" s="242"/>
    </row>
    <row r="17" spans="19:22" ht="15" customHeight="1">
      <c r="S17" s="270">
        <v>2012</v>
      </c>
      <c r="T17" s="226">
        <v>883.6</v>
      </c>
      <c r="V17" s="242"/>
    </row>
    <row r="18" spans="19:20" ht="15" customHeight="1">
      <c r="S18" s="269">
        <v>2013</v>
      </c>
      <c r="T18" s="228">
        <v>919.5</v>
      </c>
    </row>
    <row r="19" spans="19:20" ht="15" customHeight="1">
      <c r="S19" s="270">
        <v>2014</v>
      </c>
      <c r="T19" s="226">
        <v>956.2</v>
      </c>
    </row>
    <row r="20" spans="19:20" ht="15" customHeight="1">
      <c r="S20" s="269">
        <v>2015</v>
      </c>
      <c r="T20" s="228">
        <v>1004</v>
      </c>
    </row>
    <row r="21" spans="19:20" ht="15" customHeight="1">
      <c r="S21" s="269">
        <v>2016</v>
      </c>
      <c r="T21" s="228">
        <v>1042.5</v>
      </c>
    </row>
    <row r="22" spans="19:20" ht="15" customHeight="1">
      <c r="S22" s="270">
        <v>2017</v>
      </c>
      <c r="T22" s="226">
        <v>1075.9</v>
      </c>
    </row>
    <row r="23" spans="19:20" ht="15" customHeight="1">
      <c r="S23" s="269">
        <v>2018</v>
      </c>
      <c r="T23" s="228">
        <v>1103.8</v>
      </c>
    </row>
    <row r="24" spans="19:20" ht="15" customHeight="1">
      <c r="S24" s="270">
        <v>2019</v>
      </c>
      <c r="T24" s="226">
        <v>1152.3</v>
      </c>
    </row>
    <row r="25" spans="19:20" ht="15" customHeight="1">
      <c r="S25" s="269">
        <v>2020</v>
      </c>
      <c r="T25" s="228">
        <v>1177.2</v>
      </c>
    </row>
    <row r="26" spans="19:20" ht="15" customHeight="1" thickBot="1">
      <c r="S26" s="271">
        <v>2021</v>
      </c>
      <c r="T26" s="225">
        <v>1212.2</v>
      </c>
    </row>
    <row r="29" spans="9:17" ht="15" customHeight="1">
      <c r="I29"/>
      <c r="J29"/>
      <c r="K29"/>
      <c r="L29"/>
      <c r="M29"/>
      <c r="N29"/>
      <c r="O29"/>
      <c r="P29"/>
      <c r="Q29"/>
    </row>
    <row r="30" spans="9:17" ht="15" customHeight="1">
      <c r="I30"/>
      <c r="J30"/>
      <c r="K30"/>
      <c r="L30"/>
      <c r="M30"/>
      <c r="N30"/>
      <c r="O30"/>
      <c r="P30"/>
      <c r="Q30"/>
    </row>
    <row r="31" spans="9:17" ht="15" customHeight="1">
      <c r="I31"/>
      <c r="J31"/>
      <c r="K31"/>
      <c r="L31"/>
      <c r="M31"/>
      <c r="N31"/>
      <c r="O31"/>
      <c r="P31"/>
      <c r="Q31"/>
    </row>
    <row r="32" spans="9:17" ht="15" customHeight="1">
      <c r="I32"/>
      <c r="J32"/>
      <c r="K32"/>
      <c r="L32"/>
      <c r="M32"/>
      <c r="N32"/>
      <c r="O32"/>
      <c r="P32"/>
      <c r="Q32"/>
    </row>
    <row r="33" spans="9:17" ht="15" customHeight="1">
      <c r="I33"/>
      <c r="J33"/>
      <c r="K33"/>
      <c r="L33"/>
      <c r="M33"/>
      <c r="N33"/>
      <c r="O33"/>
      <c r="P33"/>
      <c r="Q33"/>
    </row>
  </sheetData>
  <sheetProtection/>
  <mergeCells count="3">
    <mergeCell ref="B1:P1"/>
    <mergeCell ref="B2:P2"/>
    <mergeCell ref="B3:P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B1:J29"/>
  <sheetViews>
    <sheetView zoomScalePageLayoutView="0" workbookViewId="0" topLeftCell="A1">
      <selection activeCell="I18" sqref="I18"/>
    </sheetView>
  </sheetViews>
  <sheetFormatPr defaultColWidth="11.421875" defaultRowHeight="15" customHeight="1"/>
  <cols>
    <col min="1" max="1" width="2.7109375" style="72" customWidth="1"/>
    <col min="2" max="2" width="30.7109375" style="72" customWidth="1"/>
    <col min="3" max="6" width="15.7109375" style="72" customWidth="1"/>
    <col min="7" max="7" width="11.421875" style="72" customWidth="1"/>
    <col min="8" max="8" width="12.140625" style="72" bestFit="1" customWidth="1"/>
    <col min="9" max="16384" width="11.421875" style="72" customWidth="1"/>
  </cols>
  <sheetData>
    <row r="1" spans="2:6" ht="15" customHeight="1">
      <c r="B1" s="486" t="s">
        <v>35</v>
      </c>
      <c r="C1" s="486"/>
      <c r="D1" s="486"/>
      <c r="E1" s="486"/>
      <c r="F1" s="486"/>
    </row>
    <row r="2" spans="2:6" ht="15" customHeight="1">
      <c r="B2" s="486" t="s">
        <v>2</v>
      </c>
      <c r="C2" s="486"/>
      <c r="D2" s="486"/>
      <c r="E2" s="486"/>
      <c r="F2" s="486"/>
    </row>
    <row r="3" spans="2:6" ht="15" customHeight="1">
      <c r="B3" s="486" t="s">
        <v>110</v>
      </c>
      <c r="C3" s="486"/>
      <c r="D3" s="486"/>
      <c r="E3" s="486"/>
      <c r="F3" s="486"/>
    </row>
    <row r="4" spans="2:6" ht="15" customHeight="1">
      <c r="B4" s="486">
        <v>2021</v>
      </c>
      <c r="C4" s="486"/>
      <c r="D4" s="486"/>
      <c r="E4" s="486"/>
      <c r="F4" s="486"/>
    </row>
    <row r="5" spans="2:6" ht="15" customHeight="1" thickBot="1">
      <c r="B5" s="71"/>
      <c r="C5" s="71"/>
      <c r="D5" s="71"/>
      <c r="E5" s="71"/>
      <c r="F5" s="71"/>
    </row>
    <row r="6" spans="2:6" ht="45" customHeight="1" thickBot="1">
      <c r="B6" s="264" t="s">
        <v>120</v>
      </c>
      <c r="C6" s="289" t="s">
        <v>134</v>
      </c>
      <c r="D6" s="260" t="s">
        <v>144</v>
      </c>
      <c r="E6" s="260" t="s">
        <v>135</v>
      </c>
      <c r="F6" s="258" t="s">
        <v>47</v>
      </c>
    </row>
    <row r="7" spans="2:6" ht="15" customHeight="1">
      <c r="B7" s="290"/>
      <c r="C7" s="66"/>
      <c r="D7" s="34"/>
      <c r="E7" s="34"/>
      <c r="F7" s="57"/>
    </row>
    <row r="8" spans="2:8" ht="15" customHeight="1">
      <c r="B8" s="244" t="s">
        <v>47</v>
      </c>
      <c r="C8" s="67">
        <f>+C20+C22</f>
        <v>547604</v>
      </c>
      <c r="D8" s="52">
        <f>+D20+D24</f>
        <v>494237</v>
      </c>
      <c r="E8" s="52">
        <f>+E20+E22</f>
        <v>170628</v>
      </c>
      <c r="F8" s="58">
        <f>+F20+F22+F24</f>
        <v>1212469</v>
      </c>
      <c r="H8" s="430"/>
    </row>
    <row r="9" spans="2:6" ht="15" customHeight="1" thickBot="1">
      <c r="B9" s="284"/>
      <c r="C9" s="90"/>
      <c r="D9" s="91"/>
      <c r="E9" s="91"/>
      <c r="F9" s="92"/>
    </row>
    <row r="10" spans="2:6" ht="15" customHeight="1">
      <c r="B10" s="291"/>
      <c r="C10" s="96"/>
      <c r="D10" s="93"/>
      <c r="E10" s="93"/>
      <c r="F10" s="94"/>
    </row>
    <row r="11" spans="2:8" ht="15" customHeight="1">
      <c r="B11" s="245" t="s">
        <v>87</v>
      </c>
      <c r="C11" s="97">
        <v>481864</v>
      </c>
      <c r="D11" s="53">
        <v>453832</v>
      </c>
      <c r="E11" s="53">
        <v>152526</v>
      </c>
      <c r="F11" s="60">
        <f>SUM(C11:E11)</f>
        <v>1088222</v>
      </c>
      <c r="H11" s="430"/>
    </row>
    <row r="12" spans="2:6" ht="15" customHeight="1">
      <c r="B12" s="245" t="s">
        <v>88</v>
      </c>
      <c r="C12" s="97">
        <v>57075</v>
      </c>
      <c r="D12" s="53">
        <v>36405</v>
      </c>
      <c r="E12" s="53">
        <v>15442</v>
      </c>
      <c r="F12" s="60">
        <f>+C12+D12+E12</f>
        <v>108922</v>
      </c>
    </row>
    <row r="13" spans="2:6" ht="15" customHeight="1">
      <c r="B13" s="245" t="s">
        <v>89</v>
      </c>
      <c r="C13" s="97">
        <v>1199</v>
      </c>
      <c r="D13" s="53">
        <v>135</v>
      </c>
      <c r="E13" s="53">
        <v>517</v>
      </c>
      <c r="F13" s="60">
        <f>+C13+D13+E13</f>
        <v>1851</v>
      </c>
    </row>
    <row r="14" spans="2:6" ht="15" customHeight="1">
      <c r="B14" s="245"/>
      <c r="C14" s="97"/>
      <c r="D14" s="53"/>
      <c r="E14" s="53"/>
      <c r="F14" s="60"/>
    </row>
    <row r="15" spans="2:8" ht="15" customHeight="1">
      <c r="B15" s="292" t="s">
        <v>93</v>
      </c>
      <c r="C15" s="98">
        <f>SUM(C11:C14)</f>
        <v>540138</v>
      </c>
      <c r="D15" s="98">
        <f>SUM(D11:D14)</f>
        <v>490372</v>
      </c>
      <c r="E15" s="98">
        <f>SUM(E11:E13)</f>
        <v>168485</v>
      </c>
      <c r="F15" s="58">
        <f>+F11+F12+F13</f>
        <v>1198995</v>
      </c>
      <c r="H15" s="430"/>
    </row>
    <row r="16" spans="2:6" ht="15" customHeight="1">
      <c r="B16" s="245"/>
      <c r="C16" s="97"/>
      <c r="D16" s="53"/>
      <c r="E16" s="53"/>
      <c r="F16" s="59"/>
    </row>
    <row r="17" spans="2:6" ht="15" customHeight="1">
      <c r="B17" s="245"/>
      <c r="C17" s="97"/>
      <c r="D17" s="53"/>
      <c r="E17" s="53"/>
      <c r="F17" s="59"/>
    </row>
    <row r="18" spans="2:6" ht="15" customHeight="1">
      <c r="B18" s="245" t="s">
        <v>90</v>
      </c>
      <c r="C18" s="97">
        <v>7347</v>
      </c>
      <c r="D18" s="53">
        <v>3811</v>
      </c>
      <c r="E18" s="53">
        <v>2089</v>
      </c>
      <c r="F18" s="60">
        <f>+C18+D18+E18</f>
        <v>13247</v>
      </c>
    </row>
    <row r="19" spans="2:6" ht="15" customHeight="1">
      <c r="B19" s="245"/>
      <c r="C19" s="97"/>
      <c r="D19" s="53"/>
      <c r="E19" s="53"/>
      <c r="F19" s="58"/>
    </row>
    <row r="20" spans="2:8" ht="15" customHeight="1">
      <c r="B20" s="293" t="s">
        <v>95</v>
      </c>
      <c r="C20" s="431">
        <f>+C15+C18</f>
        <v>547485</v>
      </c>
      <c r="D20" s="54">
        <f>+D15+D18</f>
        <v>494183</v>
      </c>
      <c r="E20" s="54">
        <f>+E15+E18</f>
        <v>170574</v>
      </c>
      <c r="F20" s="58">
        <f>+C20+D20+E20</f>
        <v>1212242</v>
      </c>
      <c r="H20" s="430"/>
    </row>
    <row r="21" spans="2:6" ht="15" customHeight="1">
      <c r="B21" s="293"/>
      <c r="C21" s="100"/>
      <c r="D21" s="55"/>
      <c r="E21" s="55"/>
      <c r="F21" s="16"/>
    </row>
    <row r="22" spans="2:6" ht="15" customHeight="1">
      <c r="B22" s="293" t="s">
        <v>96</v>
      </c>
      <c r="C22" s="350">
        <v>119</v>
      </c>
      <c r="D22" s="351"/>
      <c r="E22" s="351">
        <v>54</v>
      </c>
      <c r="F22" s="60">
        <f>+C22+E22</f>
        <v>173</v>
      </c>
    </row>
    <row r="23" spans="2:6" ht="15" customHeight="1">
      <c r="B23" s="293"/>
      <c r="C23" s="100"/>
      <c r="D23" s="55"/>
      <c r="E23" s="352"/>
      <c r="F23" s="62"/>
    </row>
    <row r="24" spans="2:6" ht="15" customHeight="1">
      <c r="B24" s="293" t="s">
        <v>97</v>
      </c>
      <c r="C24" s="350" t="s">
        <v>140</v>
      </c>
      <c r="D24" s="351">
        <v>54</v>
      </c>
      <c r="E24" s="351" t="s">
        <v>140</v>
      </c>
      <c r="F24" s="62">
        <f>+D24</f>
        <v>54</v>
      </c>
    </row>
    <row r="25" spans="2:6" ht="15" customHeight="1" thickBot="1">
      <c r="B25" s="294"/>
      <c r="C25" s="101"/>
      <c r="D25" s="64"/>
      <c r="E25" s="219"/>
      <c r="F25" s="65"/>
    </row>
    <row r="26" spans="2:10" s="13" customFormat="1" ht="15" customHeight="1">
      <c r="B26" s="48"/>
      <c r="C26" s="49"/>
      <c r="D26" s="49"/>
      <c r="E26" s="49"/>
      <c r="H26" s="72"/>
      <c r="I26" s="72"/>
      <c r="J26" s="72"/>
    </row>
    <row r="27" spans="2:10" s="95" customFormat="1" ht="15" customHeight="1">
      <c r="B27" s="487" t="s">
        <v>6</v>
      </c>
      <c r="C27" s="487"/>
      <c r="D27" s="487"/>
      <c r="E27" s="487"/>
      <c r="F27" s="487"/>
      <c r="H27" s="72"/>
      <c r="I27" s="72"/>
      <c r="J27" s="72"/>
    </row>
    <row r="29" spans="3:6" ht="15" customHeight="1">
      <c r="C29" s="200"/>
      <c r="D29" s="200"/>
      <c r="E29" s="200"/>
      <c r="F29" s="201"/>
    </row>
  </sheetData>
  <sheetProtection/>
  <mergeCells count="5">
    <mergeCell ref="B2:F2"/>
    <mergeCell ref="B27:F27"/>
    <mergeCell ref="B1:F1"/>
    <mergeCell ref="B3:F3"/>
    <mergeCell ref="B4:F4"/>
  </mergeCells>
  <printOptions horizontalCentered="1"/>
  <pageMargins left="0.7874015748031497" right="0.3937007874015748" top="0.3937007874015748" bottom="0.7874015748031497" header="0" footer="0"/>
  <pageSetup fitToHeight="1" fitToWidth="1" orientation="portrait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B1:F36"/>
  <sheetViews>
    <sheetView zoomScalePageLayoutView="0" workbookViewId="0" topLeftCell="A1">
      <selection activeCell="B27" sqref="B27"/>
    </sheetView>
  </sheetViews>
  <sheetFormatPr defaultColWidth="11.421875" defaultRowHeight="15" customHeight="1"/>
  <cols>
    <col min="1" max="1" width="2.7109375" style="13" customWidth="1"/>
    <col min="2" max="2" width="25.7109375" style="13" customWidth="1"/>
    <col min="3" max="6" width="15.7109375" style="13" customWidth="1"/>
    <col min="7" max="16384" width="11.421875" style="13" customWidth="1"/>
  </cols>
  <sheetData>
    <row r="1" spans="2:6" ht="15" customHeight="1">
      <c r="B1" s="477" t="s">
        <v>36</v>
      </c>
      <c r="C1" s="477"/>
      <c r="D1" s="477"/>
      <c r="E1" s="477"/>
      <c r="F1" s="477"/>
    </row>
    <row r="2" spans="2:6" ht="15" customHeight="1">
      <c r="B2" s="477" t="s">
        <v>11</v>
      </c>
      <c r="C2" s="477"/>
      <c r="D2" s="477"/>
      <c r="E2" s="477"/>
      <c r="F2" s="477"/>
    </row>
    <row r="3" spans="2:6" ht="15" customHeight="1">
      <c r="B3" s="477" t="s">
        <v>12</v>
      </c>
      <c r="C3" s="477"/>
      <c r="D3" s="477"/>
      <c r="E3" s="477"/>
      <c r="F3" s="477"/>
    </row>
    <row r="4" spans="2:6" ht="15" customHeight="1">
      <c r="B4" s="477" t="s">
        <v>13</v>
      </c>
      <c r="C4" s="477"/>
      <c r="D4" s="477"/>
      <c r="E4" s="477"/>
      <c r="F4" s="477"/>
    </row>
    <row r="5" spans="2:6" ht="15" customHeight="1">
      <c r="B5" s="477">
        <v>2021</v>
      </c>
      <c r="C5" s="477"/>
      <c r="D5" s="477"/>
      <c r="E5" s="477"/>
      <c r="F5" s="477"/>
    </row>
    <row r="6" ht="15" customHeight="1" thickBot="1"/>
    <row r="7" spans="2:6" ht="15" customHeight="1">
      <c r="B7" s="488" t="s">
        <v>120</v>
      </c>
      <c r="C7" s="490" t="s">
        <v>134</v>
      </c>
      <c r="D7" s="491"/>
      <c r="E7" s="492" t="s">
        <v>135</v>
      </c>
      <c r="F7" s="491"/>
    </row>
    <row r="8" spans="2:6" ht="54.75" customHeight="1" thickBot="1">
      <c r="B8" s="489"/>
      <c r="C8" s="302" t="s">
        <v>15</v>
      </c>
      <c r="D8" s="303" t="s">
        <v>10</v>
      </c>
      <c r="E8" s="304" t="s">
        <v>15</v>
      </c>
      <c r="F8" s="303" t="s">
        <v>10</v>
      </c>
    </row>
    <row r="9" spans="2:6" ht="15" customHeight="1">
      <c r="B9" s="295"/>
      <c r="C9" s="116"/>
      <c r="D9" s="111"/>
      <c r="E9" s="122"/>
      <c r="F9" s="111"/>
    </row>
    <row r="10" spans="2:6" ht="15" customHeight="1">
      <c r="B10" s="296" t="s">
        <v>79</v>
      </c>
      <c r="C10" s="114">
        <f>+C26+C20+C13</f>
        <v>547604</v>
      </c>
      <c r="D10" s="110">
        <f>+D26+D20+D13+D32</f>
        <v>4115130</v>
      </c>
      <c r="E10" s="123">
        <f>+E26+E20+E13</f>
        <v>170628</v>
      </c>
      <c r="F10" s="110">
        <f>+F26+F20+F13+F32</f>
        <v>918862</v>
      </c>
    </row>
    <row r="11" spans="2:6" ht="15" customHeight="1" thickBot="1">
      <c r="B11" s="297"/>
      <c r="C11" s="119"/>
      <c r="D11" s="120"/>
      <c r="E11" s="124"/>
      <c r="F11" s="120"/>
    </row>
    <row r="12" spans="2:6" ht="15" customHeight="1">
      <c r="B12" s="298"/>
      <c r="C12" s="116"/>
      <c r="D12" s="111"/>
      <c r="E12" s="122"/>
      <c r="F12" s="111"/>
    </row>
    <row r="13" spans="2:6" ht="15" customHeight="1">
      <c r="B13" s="299" t="s">
        <v>121</v>
      </c>
      <c r="C13" s="114">
        <f>SUM(C15:C17)</f>
        <v>546987</v>
      </c>
      <c r="D13" s="110">
        <f>SUM(D15:D17)</f>
        <v>3193351</v>
      </c>
      <c r="E13" s="123">
        <f>SUM(E15:E17)</f>
        <v>170362</v>
      </c>
      <c r="F13" s="110">
        <f>SUM(F15:F17)</f>
        <v>690056</v>
      </c>
    </row>
    <row r="14" spans="2:6" ht="15" customHeight="1">
      <c r="B14" s="299"/>
      <c r="C14" s="115"/>
      <c r="D14" s="29"/>
      <c r="E14" s="125"/>
      <c r="F14" s="29"/>
    </row>
    <row r="15" spans="2:6" ht="15" customHeight="1">
      <c r="B15" s="299" t="s">
        <v>122</v>
      </c>
      <c r="C15" s="115">
        <v>539375</v>
      </c>
      <c r="D15" s="29">
        <v>1962677</v>
      </c>
      <c r="E15" s="125">
        <v>169414</v>
      </c>
      <c r="F15" s="29">
        <v>535899</v>
      </c>
    </row>
    <row r="16" spans="2:6" ht="15" customHeight="1">
      <c r="B16" s="299" t="s">
        <v>123</v>
      </c>
      <c r="C16" s="115">
        <v>7291</v>
      </c>
      <c r="D16" s="29">
        <v>979765</v>
      </c>
      <c r="E16" s="125">
        <v>918</v>
      </c>
      <c r="F16" s="29">
        <v>135783</v>
      </c>
    </row>
    <row r="17" spans="2:6" ht="15" customHeight="1">
      <c r="B17" s="299" t="s">
        <v>124</v>
      </c>
      <c r="C17" s="115">
        <v>321</v>
      </c>
      <c r="D17" s="29">
        <v>250909</v>
      </c>
      <c r="E17" s="125">
        <v>30</v>
      </c>
      <c r="F17" s="29">
        <v>18374</v>
      </c>
    </row>
    <row r="18" spans="2:6" ht="15" customHeight="1" thickBot="1">
      <c r="B18" s="300"/>
      <c r="C18" s="117"/>
      <c r="D18" s="30"/>
      <c r="E18" s="126"/>
      <c r="F18" s="30"/>
    </row>
    <row r="19" spans="2:6" ht="15" customHeight="1">
      <c r="B19" s="298"/>
      <c r="C19" s="116"/>
      <c r="D19" s="111"/>
      <c r="E19" s="122"/>
      <c r="F19" s="111"/>
    </row>
    <row r="20" spans="2:6" ht="15" customHeight="1">
      <c r="B20" s="299" t="s">
        <v>125</v>
      </c>
      <c r="C20" s="114">
        <f>SUM(C22:C23)</f>
        <v>617</v>
      </c>
      <c r="D20" s="110">
        <f>SUM(D22:D23)</f>
        <v>801562</v>
      </c>
      <c r="E20" s="123">
        <f>SUM(E22:E23)</f>
        <v>264</v>
      </c>
      <c r="F20" s="110">
        <f>SUM(F22:F23)</f>
        <v>184857</v>
      </c>
    </row>
    <row r="21" spans="2:6" ht="15" customHeight="1">
      <c r="B21" s="299"/>
      <c r="C21" s="115"/>
      <c r="D21" s="29"/>
      <c r="E21" s="125"/>
      <c r="F21" s="29"/>
    </row>
    <row r="22" spans="2:6" ht="15" customHeight="1">
      <c r="B22" s="299" t="s">
        <v>126</v>
      </c>
      <c r="C22" s="115">
        <v>490</v>
      </c>
      <c r="D22" s="29">
        <v>276929</v>
      </c>
      <c r="E22" s="125">
        <v>241</v>
      </c>
      <c r="F22" s="29">
        <v>89753</v>
      </c>
    </row>
    <row r="23" spans="2:6" ht="15" customHeight="1">
      <c r="B23" s="299" t="s">
        <v>127</v>
      </c>
      <c r="C23" s="115">
        <v>127</v>
      </c>
      <c r="D23" s="29">
        <v>524633</v>
      </c>
      <c r="E23" s="125">
        <v>23</v>
      </c>
      <c r="F23" s="29">
        <v>95104</v>
      </c>
    </row>
    <row r="24" spans="2:6" ht="15" customHeight="1" thickBot="1">
      <c r="B24" s="300"/>
      <c r="C24" s="117"/>
      <c r="D24" s="30"/>
      <c r="E24" s="126"/>
      <c r="F24" s="30"/>
    </row>
    <row r="25" spans="2:6" ht="15" customHeight="1">
      <c r="B25" s="298"/>
      <c r="C25" s="116"/>
      <c r="D25" s="111"/>
      <c r="E25" s="122"/>
      <c r="F25" s="111"/>
    </row>
    <row r="26" spans="2:6" ht="15" customHeight="1">
      <c r="B26" s="299" t="s">
        <v>128</v>
      </c>
      <c r="C26" s="114">
        <f>SUM(C28:C29)</f>
        <v>0</v>
      </c>
      <c r="D26" s="110">
        <f>SUM(D28:D29)</f>
        <v>0</v>
      </c>
      <c r="E26" s="123">
        <f>SUM(E28:E29)</f>
        <v>2</v>
      </c>
      <c r="F26" s="110">
        <f>SUM(F28:F29)</f>
        <v>2351</v>
      </c>
    </row>
    <row r="27" spans="2:6" ht="15" customHeight="1">
      <c r="B27" s="299"/>
      <c r="C27" s="115"/>
      <c r="D27" s="29"/>
      <c r="E27" s="125"/>
      <c r="F27" s="29"/>
    </row>
    <row r="28" spans="2:6" ht="15" customHeight="1">
      <c r="B28" s="299" t="s">
        <v>129</v>
      </c>
      <c r="C28" s="115">
        <v>0</v>
      </c>
      <c r="D28" s="29">
        <v>0</v>
      </c>
      <c r="E28" s="125">
        <v>0</v>
      </c>
      <c r="F28" s="29">
        <v>0</v>
      </c>
    </row>
    <row r="29" spans="2:6" ht="15" customHeight="1">
      <c r="B29" s="299" t="s">
        <v>130</v>
      </c>
      <c r="C29" s="115">
        <v>0</v>
      </c>
      <c r="D29" s="29">
        <v>0</v>
      </c>
      <c r="E29" s="125">
        <v>2</v>
      </c>
      <c r="F29" s="29">
        <v>2351</v>
      </c>
    </row>
    <row r="30" spans="2:6" ht="15" customHeight="1" thickBot="1">
      <c r="B30" s="300"/>
      <c r="C30" s="117"/>
      <c r="D30" s="30"/>
      <c r="E30" s="126"/>
      <c r="F30" s="30"/>
    </row>
    <row r="31" spans="2:6" ht="15" customHeight="1">
      <c r="B31" s="301"/>
      <c r="C31" s="118"/>
      <c r="D31" s="109"/>
      <c r="E31" s="127"/>
      <c r="F31" s="109"/>
    </row>
    <row r="32" spans="2:6" s="15" customFormat="1" ht="15" customHeight="1">
      <c r="B32" s="299" t="s">
        <v>94</v>
      </c>
      <c r="C32" s="114"/>
      <c r="D32" s="110">
        <v>120217</v>
      </c>
      <c r="E32" s="123"/>
      <c r="F32" s="110">
        <v>41598</v>
      </c>
    </row>
    <row r="33" spans="2:6" ht="15" customHeight="1" thickBot="1">
      <c r="B33" s="300"/>
      <c r="C33" s="117"/>
      <c r="D33" s="30"/>
      <c r="E33" s="126"/>
      <c r="F33" s="30"/>
    </row>
    <row r="34" ht="15" customHeight="1">
      <c r="B34" s="15"/>
    </row>
    <row r="35" s="4" customFormat="1" ht="15" customHeight="1">
      <c r="B35" s="121" t="s">
        <v>131</v>
      </c>
    </row>
    <row r="36" spans="2:6" s="4" customFormat="1" ht="15" customHeight="1">
      <c r="B36" s="121" t="s">
        <v>98</v>
      </c>
      <c r="F36" s="196"/>
    </row>
  </sheetData>
  <sheetProtection/>
  <mergeCells count="8">
    <mergeCell ref="B1:F1"/>
    <mergeCell ref="B2:F2"/>
    <mergeCell ref="B3:F3"/>
    <mergeCell ref="B4:F4"/>
    <mergeCell ref="B5:F5"/>
    <mergeCell ref="B7:B8"/>
    <mergeCell ref="C7:D7"/>
    <mergeCell ref="E7:F7"/>
  </mergeCells>
  <printOptions horizontalCentered="1"/>
  <pageMargins left="0.7874015748031497" right="0.3937007874015748" top="0.3937007874015748" bottom="0.7874015748031497" header="0" footer="0"/>
  <pageSetup fitToHeight="1" fitToWidth="1"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B1:F36"/>
  <sheetViews>
    <sheetView zoomScalePageLayoutView="0" workbookViewId="0" topLeftCell="A1">
      <selection activeCell="G15" sqref="G15"/>
    </sheetView>
  </sheetViews>
  <sheetFormatPr defaultColWidth="11.421875" defaultRowHeight="15" customHeight="1"/>
  <cols>
    <col min="1" max="1" width="2.7109375" style="13" customWidth="1"/>
    <col min="2" max="4" width="25.7109375" style="13" customWidth="1"/>
    <col min="5" max="5" width="12.00390625" style="13" bestFit="1" customWidth="1"/>
    <col min="6" max="6" width="14.28125" style="13" bestFit="1" customWidth="1"/>
    <col min="7" max="16384" width="11.421875" style="13" customWidth="1"/>
  </cols>
  <sheetData>
    <row r="1" spans="2:4" ht="15" customHeight="1">
      <c r="B1" s="477" t="s">
        <v>37</v>
      </c>
      <c r="C1" s="477"/>
      <c r="D1" s="477"/>
    </row>
    <row r="2" spans="2:4" ht="15" customHeight="1">
      <c r="B2" s="477" t="s">
        <v>14</v>
      </c>
      <c r="C2" s="477"/>
      <c r="D2" s="477"/>
    </row>
    <row r="3" spans="2:4" ht="15" customHeight="1">
      <c r="B3" s="477" t="s">
        <v>144</v>
      </c>
      <c r="C3" s="477"/>
      <c r="D3" s="477"/>
    </row>
    <row r="4" spans="2:4" ht="15" customHeight="1">
      <c r="B4" s="477" t="s">
        <v>13</v>
      </c>
      <c r="C4" s="477"/>
      <c r="D4" s="477"/>
    </row>
    <row r="5" spans="2:4" ht="15" customHeight="1" thickBot="1">
      <c r="B5" s="477">
        <v>2021</v>
      </c>
      <c r="C5" s="477"/>
      <c r="D5" s="477"/>
    </row>
    <row r="6" spans="2:4" ht="15" customHeight="1">
      <c r="B6" s="488" t="s">
        <v>120</v>
      </c>
      <c r="C6" s="492" t="s">
        <v>144</v>
      </c>
      <c r="D6" s="491"/>
    </row>
    <row r="7" spans="2:4" ht="54.75" customHeight="1" thickBot="1">
      <c r="B7" s="489"/>
      <c r="C7" s="304" t="s">
        <v>15</v>
      </c>
      <c r="D7" s="303" t="s">
        <v>10</v>
      </c>
    </row>
    <row r="8" spans="2:4" ht="15" customHeight="1">
      <c r="B8" s="295"/>
      <c r="C8" s="116"/>
      <c r="D8" s="111"/>
    </row>
    <row r="9" spans="2:5" ht="15" customHeight="1">
      <c r="B9" s="296" t="s">
        <v>79</v>
      </c>
      <c r="C9" s="114">
        <f>+C12+C19+C25</f>
        <v>494238</v>
      </c>
      <c r="D9" s="110">
        <f>+D25+D19+D12+D31</f>
        <v>2942110</v>
      </c>
      <c r="E9" s="229"/>
    </row>
    <row r="10" spans="2:4" ht="15" customHeight="1" thickBot="1">
      <c r="B10" s="297"/>
      <c r="C10" s="119"/>
      <c r="D10" s="120"/>
    </row>
    <row r="11" spans="2:4" ht="15" customHeight="1">
      <c r="B11" s="298"/>
      <c r="C11" s="116"/>
      <c r="D11" s="111"/>
    </row>
    <row r="12" spans="2:4" ht="15" customHeight="1">
      <c r="B12" s="299" t="s">
        <v>121</v>
      </c>
      <c r="C12" s="114">
        <f>SUM(C14:C16)</f>
        <v>493813</v>
      </c>
      <c r="D12" s="110">
        <f>SUM(D14:D16)</f>
        <v>2371267</v>
      </c>
    </row>
    <row r="13" spans="2:4" ht="15" customHeight="1">
      <c r="B13" s="299"/>
      <c r="C13" s="115"/>
      <c r="D13" s="29"/>
    </row>
    <row r="14" spans="2:4" ht="15" customHeight="1">
      <c r="B14" s="299" t="s">
        <v>122</v>
      </c>
      <c r="C14" s="115">
        <v>488656</v>
      </c>
      <c r="D14" s="29">
        <v>1797885</v>
      </c>
    </row>
    <row r="15" spans="2:6" ht="15" customHeight="1">
      <c r="B15" s="299" t="s">
        <v>123</v>
      </c>
      <c r="C15" s="115">
        <v>5073</v>
      </c>
      <c r="D15" s="29">
        <v>566384</v>
      </c>
      <c r="F15" s="229"/>
    </row>
    <row r="16" spans="2:4" ht="15" customHeight="1">
      <c r="B16" s="299" t="s">
        <v>124</v>
      </c>
      <c r="C16" s="115">
        <v>84</v>
      </c>
      <c r="D16" s="29">
        <v>6998</v>
      </c>
    </row>
    <row r="17" spans="2:4" ht="15" customHeight="1" thickBot="1">
      <c r="B17" s="300"/>
      <c r="C17" s="117"/>
      <c r="D17" s="30"/>
    </row>
    <row r="18" spans="2:4" ht="15" customHeight="1">
      <c r="B18" s="298"/>
      <c r="C18" s="116"/>
      <c r="D18" s="111"/>
    </row>
    <row r="19" spans="2:4" ht="15" customHeight="1">
      <c r="B19" s="299" t="s">
        <v>125</v>
      </c>
      <c r="C19" s="114">
        <f>SUM(C21:C22)</f>
        <v>421</v>
      </c>
      <c r="D19" s="110">
        <f>SUM(D21:D22)</f>
        <v>291827</v>
      </c>
    </row>
    <row r="20" spans="2:4" ht="15" customHeight="1">
      <c r="B20" s="299"/>
      <c r="C20" s="115"/>
      <c r="D20" s="29"/>
    </row>
    <row r="21" spans="2:4" ht="15" customHeight="1">
      <c r="B21" s="299" t="s">
        <v>138</v>
      </c>
      <c r="C21" s="115">
        <v>393</v>
      </c>
      <c r="D21" s="29">
        <v>244064</v>
      </c>
    </row>
    <row r="22" spans="2:4" ht="15" customHeight="1">
      <c r="B22" s="299" t="s">
        <v>127</v>
      </c>
      <c r="C22" s="115">
        <v>28</v>
      </c>
      <c r="D22" s="29">
        <v>47763</v>
      </c>
    </row>
    <row r="23" spans="2:4" ht="15" customHeight="1" thickBot="1">
      <c r="B23" s="300"/>
      <c r="C23" s="117"/>
      <c r="D23" s="30"/>
    </row>
    <row r="24" spans="2:4" ht="15" customHeight="1">
      <c r="B24" s="298"/>
      <c r="C24" s="116"/>
      <c r="D24" s="111"/>
    </row>
    <row r="25" spans="2:4" ht="15" customHeight="1">
      <c r="B25" s="299" t="s">
        <v>128</v>
      </c>
      <c r="C25" s="114">
        <f>SUM(C27:C28)</f>
        <v>4</v>
      </c>
      <c r="D25" s="110">
        <f>SUM(D27:D28)</f>
        <v>196923</v>
      </c>
    </row>
    <row r="26" spans="2:4" ht="15" customHeight="1">
      <c r="B26" s="299"/>
      <c r="C26" s="115"/>
      <c r="D26" s="29"/>
    </row>
    <row r="27" spans="2:4" ht="15" customHeight="1">
      <c r="B27" s="299" t="s">
        <v>129</v>
      </c>
      <c r="C27" s="115">
        <v>1</v>
      </c>
      <c r="D27" s="29">
        <v>293</v>
      </c>
    </row>
    <row r="28" spans="2:5" ht="15" customHeight="1">
      <c r="B28" s="299" t="s">
        <v>130</v>
      </c>
      <c r="C28" s="115">
        <v>3</v>
      </c>
      <c r="D28" s="29">
        <v>196630</v>
      </c>
      <c r="E28" s="229"/>
    </row>
    <row r="29" spans="2:5" ht="15" customHeight="1" thickBot="1">
      <c r="B29" s="300"/>
      <c r="C29" s="117"/>
      <c r="D29" s="30"/>
      <c r="E29" s="229"/>
    </row>
    <row r="30" spans="2:4" ht="15" customHeight="1">
      <c r="B30" s="301"/>
      <c r="C30" s="118"/>
      <c r="D30" s="109"/>
    </row>
    <row r="31" spans="2:4" s="15" customFormat="1" ht="15" customHeight="1">
      <c r="B31" s="299" t="s">
        <v>94</v>
      </c>
      <c r="C31" s="114"/>
      <c r="D31" s="110">
        <v>82093</v>
      </c>
    </row>
    <row r="32" spans="2:4" ht="15" customHeight="1" thickBot="1">
      <c r="B32" s="300"/>
      <c r="C32" s="117"/>
      <c r="D32" s="30"/>
    </row>
    <row r="33" ht="15" customHeight="1">
      <c r="B33" s="15"/>
    </row>
    <row r="34" s="4" customFormat="1" ht="15" customHeight="1">
      <c r="B34" s="121" t="s">
        <v>132</v>
      </c>
    </row>
    <row r="35" spans="2:5" s="4" customFormat="1" ht="15" customHeight="1">
      <c r="B35" s="121" t="s">
        <v>98</v>
      </c>
      <c r="E35" s="196"/>
    </row>
    <row r="36" ht="15" customHeight="1">
      <c r="E36" s="229"/>
    </row>
  </sheetData>
  <sheetProtection/>
  <mergeCells count="7">
    <mergeCell ref="B5:D5"/>
    <mergeCell ref="B6:B7"/>
    <mergeCell ref="C6:D6"/>
    <mergeCell ref="B1:D1"/>
    <mergeCell ref="B2:D2"/>
    <mergeCell ref="B3:D3"/>
    <mergeCell ref="B4:D4"/>
  </mergeCells>
  <printOptions horizontalCentered="1"/>
  <pageMargins left="0.7874015748031497" right="0.3937007874015748" top="0.3937007874015748" bottom="0.7874015748031497" header="0" footer="0"/>
  <pageSetup fitToHeight="1" fitToWidth="1"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B1:S98"/>
  <sheetViews>
    <sheetView zoomScalePageLayoutView="0" workbookViewId="0" topLeftCell="A1">
      <selection activeCell="J68" sqref="J68"/>
    </sheetView>
  </sheetViews>
  <sheetFormatPr defaultColWidth="11.00390625" defaultRowHeight="15" customHeight="1"/>
  <cols>
    <col min="1" max="1" width="2.7109375" style="13" customWidth="1"/>
    <col min="2" max="2" width="15.7109375" style="11" customWidth="1"/>
    <col min="3" max="7" width="15.7109375" style="13" customWidth="1"/>
    <col min="8" max="8" width="9.00390625" style="13" customWidth="1"/>
    <col min="9" max="9" width="12.7109375" style="13" customWidth="1"/>
    <col min="10" max="10" width="12.00390625" style="13" customWidth="1"/>
    <col min="11" max="11" width="10.00390625" style="13" customWidth="1"/>
    <col min="12" max="16384" width="11.00390625" style="13" customWidth="1"/>
  </cols>
  <sheetData>
    <row r="1" spans="2:9" ht="15" customHeight="1">
      <c r="B1" s="479" t="s">
        <v>38</v>
      </c>
      <c r="C1" s="479"/>
      <c r="D1" s="479"/>
      <c r="E1" s="479"/>
      <c r="F1" s="479"/>
      <c r="G1" s="479"/>
      <c r="H1" s="17"/>
      <c r="I1" s="17"/>
    </row>
    <row r="2" spans="2:9" ht="15" customHeight="1">
      <c r="B2" s="479" t="s">
        <v>111</v>
      </c>
      <c r="C2" s="479"/>
      <c r="D2" s="479"/>
      <c r="E2" s="479"/>
      <c r="F2" s="479"/>
      <c r="G2" s="479"/>
      <c r="H2" s="17"/>
      <c r="I2" s="17"/>
    </row>
    <row r="3" spans="2:9" ht="15" customHeight="1">
      <c r="B3" s="479" t="s">
        <v>191</v>
      </c>
      <c r="C3" s="479"/>
      <c r="D3" s="479"/>
      <c r="E3" s="479"/>
      <c r="F3" s="479"/>
      <c r="G3" s="479"/>
      <c r="H3" s="17"/>
      <c r="I3" s="17"/>
    </row>
    <row r="4" spans="2:9" ht="15" customHeight="1" thickBot="1">
      <c r="B4" s="479" t="s">
        <v>112</v>
      </c>
      <c r="C4" s="479"/>
      <c r="D4" s="479"/>
      <c r="E4" s="479"/>
      <c r="F4" s="479"/>
      <c r="G4" s="479"/>
      <c r="H4" s="17"/>
      <c r="I4" s="17"/>
    </row>
    <row r="5" spans="2:9" s="8" customFormat="1" ht="24.75" customHeight="1" thickBot="1">
      <c r="B5" s="285" t="s">
        <v>80</v>
      </c>
      <c r="C5" s="286" t="s">
        <v>79</v>
      </c>
      <c r="D5" s="287" t="s">
        <v>113</v>
      </c>
      <c r="E5" s="287" t="s">
        <v>114</v>
      </c>
      <c r="F5" s="287" t="s">
        <v>115</v>
      </c>
      <c r="G5" s="288" t="s">
        <v>116</v>
      </c>
      <c r="H5" s="6"/>
      <c r="I5" s="6"/>
    </row>
    <row r="6" spans="2:9" ht="15" customHeight="1">
      <c r="B6" s="305" t="s">
        <v>48</v>
      </c>
      <c r="C6" s="103">
        <f>4675/12</f>
        <v>389.5833333333333</v>
      </c>
      <c r="D6" s="104">
        <f>1810/12</f>
        <v>150.83333333333334</v>
      </c>
      <c r="E6" s="104">
        <f>13828/12</f>
        <v>1152.3333333333333</v>
      </c>
      <c r="F6" s="104">
        <f>114082/12</f>
        <v>9506.833333333334</v>
      </c>
      <c r="G6" s="105">
        <f>41422/12</f>
        <v>3451.8333333333335</v>
      </c>
      <c r="H6" s="17"/>
      <c r="I6" s="17"/>
    </row>
    <row r="7" spans="2:9" ht="15" customHeight="1">
      <c r="B7" s="278" t="s">
        <v>49</v>
      </c>
      <c r="C7" s="106">
        <f>4924/12</f>
        <v>410.3333333333333</v>
      </c>
      <c r="D7" s="107">
        <f>2020/12</f>
        <v>168.33333333333334</v>
      </c>
      <c r="E7" s="107">
        <f>14672/12</f>
        <v>1222.6666666666667</v>
      </c>
      <c r="F7" s="107">
        <f>126801/12</f>
        <v>10566.75</v>
      </c>
      <c r="G7" s="108">
        <f>42913/12</f>
        <v>3576.0833333333335</v>
      </c>
      <c r="H7" s="17"/>
      <c r="I7" s="17"/>
    </row>
    <row r="8" spans="2:9" ht="15" customHeight="1">
      <c r="B8" s="278" t="s">
        <v>50</v>
      </c>
      <c r="C8" s="106">
        <f>5312/12</f>
        <v>442.6666666666667</v>
      </c>
      <c r="D8" s="107">
        <f>2245/12</f>
        <v>187.08333333333334</v>
      </c>
      <c r="E8" s="107">
        <f>15421/12</f>
        <v>1285.0833333333333</v>
      </c>
      <c r="F8" s="107">
        <f>132629/12</f>
        <v>11052.416666666666</v>
      </c>
      <c r="G8" s="108">
        <f>53454/12</f>
        <v>4454.5</v>
      </c>
      <c r="H8" s="17"/>
      <c r="I8" s="17"/>
    </row>
    <row r="9" spans="2:9" ht="15" customHeight="1">
      <c r="B9" s="278" t="s">
        <v>51</v>
      </c>
      <c r="C9" s="106">
        <f>5565/12</f>
        <v>463.75</v>
      </c>
      <c r="D9" s="107">
        <f>2361/12</f>
        <v>196.75</v>
      </c>
      <c r="E9" s="107">
        <f>17637/12</f>
        <v>1469.75</v>
      </c>
      <c r="F9" s="107">
        <f>144919/12</f>
        <v>12076.583333333334</v>
      </c>
      <c r="G9" s="108">
        <f>53395/12</f>
        <v>4449.583333333333</v>
      </c>
      <c r="H9" s="17"/>
      <c r="I9" s="17"/>
    </row>
    <row r="10" spans="2:9" ht="15" customHeight="1">
      <c r="B10" s="278" t="s">
        <v>52</v>
      </c>
      <c r="C10" s="106">
        <f>5496/12</f>
        <v>458</v>
      </c>
      <c r="D10" s="107">
        <f>2263/12</f>
        <v>188.58333333333334</v>
      </c>
      <c r="E10" s="107">
        <f>18493/12</f>
        <v>1541.0833333333333</v>
      </c>
      <c r="F10" s="107">
        <f>141939/12</f>
        <v>11828.25</v>
      </c>
      <c r="G10" s="108">
        <f>55725/12</f>
        <v>4643.75</v>
      </c>
      <c r="H10" s="17"/>
      <c r="I10" s="17"/>
    </row>
    <row r="11" spans="2:9" ht="15" customHeight="1">
      <c r="B11" s="278" t="s">
        <v>53</v>
      </c>
      <c r="C11" s="106">
        <f>5579/12</f>
        <v>464.9166666666667</v>
      </c>
      <c r="D11" s="107">
        <f>2271/12</f>
        <v>189.25</v>
      </c>
      <c r="E11" s="107">
        <f>18604/12</f>
        <v>1550.3333333333333</v>
      </c>
      <c r="F11" s="107">
        <f>140603/12</f>
        <v>11716.916666666666</v>
      </c>
      <c r="G11" s="108">
        <f>58428/12</f>
        <v>4869</v>
      </c>
      <c r="H11" s="17"/>
      <c r="I11" s="17"/>
    </row>
    <row r="12" spans="2:9" ht="15" customHeight="1">
      <c r="B12" s="278" t="s">
        <v>54</v>
      </c>
      <c r="C12" s="106">
        <f>5734/12</f>
        <v>477.8333333333333</v>
      </c>
      <c r="D12" s="107">
        <f>2353/12</f>
        <v>196.08333333333334</v>
      </c>
      <c r="E12" s="107">
        <f>19139/12</f>
        <v>1594.9166666666667</v>
      </c>
      <c r="F12" s="107">
        <f>129300/12</f>
        <v>10775</v>
      </c>
      <c r="G12" s="108">
        <f>62280/12</f>
        <v>5190</v>
      </c>
      <c r="H12" s="17"/>
      <c r="I12" s="17"/>
    </row>
    <row r="13" spans="2:9" ht="15" customHeight="1">
      <c r="B13" s="278" t="s">
        <v>55</v>
      </c>
      <c r="C13" s="106">
        <f>5713/12</f>
        <v>476.0833333333333</v>
      </c>
      <c r="D13" s="107">
        <f>2262/12</f>
        <v>188.5</v>
      </c>
      <c r="E13" s="107">
        <f>20275/12</f>
        <v>1689.5833333333333</v>
      </c>
      <c r="F13" s="107">
        <f>135208/12</f>
        <v>11267.333333333334</v>
      </c>
      <c r="G13" s="108">
        <f>62860/12</f>
        <v>5238.333333333333</v>
      </c>
      <c r="H13" s="17"/>
      <c r="I13" s="17"/>
    </row>
    <row r="14" spans="2:9" ht="15" customHeight="1">
      <c r="B14" s="278" t="s">
        <v>56</v>
      </c>
      <c r="C14" s="106">
        <f>5862/12</f>
        <v>488.5</v>
      </c>
      <c r="D14" s="107">
        <f>2226/12</f>
        <v>185.5</v>
      </c>
      <c r="E14" s="107">
        <f>21004/12</f>
        <v>1750.3333333333333</v>
      </c>
      <c r="F14" s="107">
        <f>158006/12</f>
        <v>13167.166666666666</v>
      </c>
      <c r="G14" s="108">
        <f>67816/12</f>
        <v>5651.333333333333</v>
      </c>
      <c r="H14" s="17"/>
      <c r="I14" s="17"/>
    </row>
    <row r="15" spans="2:9" ht="15" customHeight="1">
      <c r="B15" s="278" t="s">
        <v>57</v>
      </c>
      <c r="C15" s="106">
        <f>5955/12</f>
        <v>496.25</v>
      </c>
      <c r="D15" s="107">
        <f>2237/12</f>
        <v>186.41666666666666</v>
      </c>
      <c r="E15" s="107">
        <f>21243/12</f>
        <v>1770.25</v>
      </c>
      <c r="F15" s="107">
        <f>185558/12</f>
        <v>15463.166666666666</v>
      </c>
      <c r="G15" s="108">
        <f>69455/12</f>
        <v>5787.916666666667</v>
      </c>
      <c r="H15" s="17"/>
      <c r="I15" s="17"/>
    </row>
    <row r="16" spans="2:9" ht="15" customHeight="1">
      <c r="B16" s="278" t="s">
        <v>58</v>
      </c>
      <c r="C16" s="106">
        <f>6117/12</f>
        <v>509.75</v>
      </c>
      <c r="D16" s="107">
        <f>2204/12</f>
        <v>183.66666666666666</v>
      </c>
      <c r="E16" s="107">
        <f>21889/12</f>
        <v>1824.0833333333333</v>
      </c>
      <c r="F16" s="107">
        <f>215705/12</f>
        <v>17975.416666666668</v>
      </c>
      <c r="G16" s="108">
        <f>68494/12</f>
        <v>5707.833333333333</v>
      </c>
      <c r="H16" s="17"/>
      <c r="I16" s="17"/>
    </row>
    <row r="17" spans="2:9" ht="15" customHeight="1">
      <c r="B17" s="278" t="s">
        <v>59</v>
      </c>
      <c r="C17" s="106">
        <f>6109/12</f>
        <v>509.0833333333333</v>
      </c>
      <c r="D17" s="107">
        <f>2211/12</f>
        <v>184.25</v>
      </c>
      <c r="E17" s="107">
        <f>21986/12</f>
        <v>1832.1666666666667</v>
      </c>
      <c r="F17" s="107">
        <f>223464/12</f>
        <v>18622</v>
      </c>
      <c r="G17" s="108">
        <f>66630/12</f>
        <v>5552.5</v>
      </c>
      <c r="H17" s="17"/>
      <c r="I17" s="17"/>
    </row>
    <row r="18" spans="2:9" ht="15" customHeight="1">
      <c r="B18" s="278" t="s">
        <v>60</v>
      </c>
      <c r="C18" s="106">
        <f>6395/12</f>
        <v>532.9166666666666</v>
      </c>
      <c r="D18" s="107">
        <f>2266/12</f>
        <v>188.83333333333334</v>
      </c>
      <c r="E18" s="107">
        <f>22511/12</f>
        <v>1875.9166666666667</v>
      </c>
      <c r="F18" s="107">
        <f>240884/12</f>
        <v>20073.666666666668</v>
      </c>
      <c r="G18" s="108">
        <f>74159/12</f>
        <v>6179.916666666667</v>
      </c>
      <c r="H18" s="17"/>
      <c r="I18" s="17"/>
    </row>
    <row r="19" spans="2:9" ht="15" customHeight="1">
      <c r="B19" s="278" t="s">
        <v>61</v>
      </c>
      <c r="C19" s="106">
        <f>6493/12</f>
        <v>541.0833333333334</v>
      </c>
      <c r="D19" s="107">
        <f>2300/12</f>
        <v>191.66666666666666</v>
      </c>
      <c r="E19" s="107">
        <f>23017/12</f>
        <v>1918.0833333333333</v>
      </c>
      <c r="F19" s="107">
        <f>228608/12</f>
        <v>19050.666666666668</v>
      </c>
      <c r="G19" s="108">
        <f>76365/12</f>
        <v>6363.75</v>
      </c>
      <c r="H19" s="17"/>
      <c r="I19" s="17"/>
    </row>
    <row r="20" spans="2:9" ht="15" customHeight="1">
      <c r="B20" s="278" t="s">
        <v>62</v>
      </c>
      <c r="C20" s="106">
        <f>6289/12</f>
        <v>524.0833333333334</v>
      </c>
      <c r="D20" s="107">
        <f>2187/12</f>
        <v>182.25</v>
      </c>
      <c r="E20" s="107">
        <f>22139/12</f>
        <v>1844.9166666666667</v>
      </c>
      <c r="F20" s="107">
        <f>231248/12</f>
        <v>19270.666666666668</v>
      </c>
      <c r="G20" s="108">
        <f>72476/12</f>
        <v>6039.666666666667</v>
      </c>
      <c r="H20" s="17"/>
      <c r="I20" s="17"/>
    </row>
    <row r="21" spans="2:9" ht="15" customHeight="1">
      <c r="B21" s="278" t="s">
        <v>63</v>
      </c>
      <c r="C21" s="106">
        <f>6397/12</f>
        <v>533.0833333333334</v>
      </c>
      <c r="D21" s="107">
        <f>2245/12</f>
        <v>187.08333333333334</v>
      </c>
      <c r="E21" s="107">
        <f>22310/12</f>
        <v>1859.1666666666667</v>
      </c>
      <c r="F21" s="107">
        <f>237199/12</f>
        <v>19766.583333333332</v>
      </c>
      <c r="G21" s="108">
        <f>66614/12</f>
        <v>5551.166666666667</v>
      </c>
      <c r="H21" s="17"/>
      <c r="I21" s="17"/>
    </row>
    <row r="22" spans="2:9" ht="15" customHeight="1">
      <c r="B22" s="278" t="s">
        <v>64</v>
      </c>
      <c r="C22" s="106">
        <f>6864/12</f>
        <v>572</v>
      </c>
      <c r="D22" s="107">
        <f>2361/12</f>
        <v>196.75</v>
      </c>
      <c r="E22" s="107">
        <f>22737/12</f>
        <v>1894.75</v>
      </c>
      <c r="F22" s="107">
        <f>253636/12</f>
        <v>21136.333333333332</v>
      </c>
      <c r="G22" s="108">
        <f>66794/12</f>
        <v>5566.166666666667</v>
      </c>
      <c r="H22" s="17"/>
      <c r="I22" s="17"/>
    </row>
    <row r="23" spans="2:9" ht="15" customHeight="1">
      <c r="B23" s="278" t="s">
        <v>65</v>
      </c>
      <c r="C23" s="106">
        <f>7071/12</f>
        <v>589.25</v>
      </c>
      <c r="D23" s="107">
        <f>2475/12</f>
        <v>206.25</v>
      </c>
      <c r="E23" s="107">
        <f>23168/12</f>
        <v>1930.6666666666667</v>
      </c>
      <c r="F23" s="107">
        <f>284140/12</f>
        <v>23678.333333333332</v>
      </c>
      <c r="G23" s="108">
        <f>65783/12</f>
        <v>5481.916666666667</v>
      </c>
      <c r="H23" s="17"/>
      <c r="I23" s="17"/>
    </row>
    <row r="24" spans="2:9" ht="15" customHeight="1">
      <c r="B24" s="278" t="s">
        <v>67</v>
      </c>
      <c r="C24" s="106">
        <f>6588/12</f>
        <v>549</v>
      </c>
      <c r="D24" s="107">
        <f>2421/12</f>
        <v>201.75</v>
      </c>
      <c r="E24" s="107">
        <f>20681/12</f>
        <v>1723.4166666666667</v>
      </c>
      <c r="F24" s="107">
        <f>257501/12</f>
        <v>21458.416666666668</v>
      </c>
      <c r="G24" s="108">
        <f>61756/12</f>
        <v>5146.333333333333</v>
      </c>
      <c r="H24" s="17"/>
      <c r="I24" s="17"/>
    </row>
    <row r="25" spans="2:9" ht="15" customHeight="1">
      <c r="B25" s="278" t="s">
        <v>84</v>
      </c>
      <c r="C25" s="106">
        <v>518</v>
      </c>
      <c r="D25" s="107">
        <f>2228/12</f>
        <v>185.66666666666666</v>
      </c>
      <c r="E25" s="107">
        <f>20408/12</f>
        <v>1700.6666666666667</v>
      </c>
      <c r="F25" s="107">
        <f>274030/12</f>
        <v>22835.833333333332</v>
      </c>
      <c r="G25" s="108">
        <f>60305/12</f>
        <v>5025.416666666667</v>
      </c>
      <c r="H25" s="17"/>
      <c r="I25" s="17"/>
    </row>
    <row r="26" spans="2:9" ht="15" customHeight="1">
      <c r="B26" s="278" t="s">
        <v>81</v>
      </c>
      <c r="C26" s="106">
        <f>6223/12</f>
        <v>518.5833333333334</v>
      </c>
      <c r="D26" s="107">
        <f>2239/12</f>
        <v>186.58333333333334</v>
      </c>
      <c r="E26" s="107">
        <f>20371/12</f>
        <v>1697.5833333333333</v>
      </c>
      <c r="F26" s="107">
        <f>297910/12</f>
        <v>24825.833333333332</v>
      </c>
      <c r="G26" s="108">
        <f>59828/12</f>
        <v>4985.666666666667</v>
      </c>
      <c r="H26" s="17"/>
      <c r="I26" s="17"/>
    </row>
    <row r="27" spans="2:9" ht="15" customHeight="1">
      <c r="B27" s="278" t="s">
        <v>82</v>
      </c>
      <c r="C27" s="106">
        <v>526</v>
      </c>
      <c r="D27" s="107">
        <v>188</v>
      </c>
      <c r="E27" s="107">
        <v>1757</v>
      </c>
      <c r="F27" s="107">
        <v>29298</v>
      </c>
      <c r="G27" s="108">
        <v>4850</v>
      </c>
      <c r="H27" s="17"/>
      <c r="I27" s="17"/>
    </row>
    <row r="28" spans="2:9" ht="15" customHeight="1">
      <c r="B28" s="278" t="s">
        <v>117</v>
      </c>
      <c r="C28" s="106">
        <v>541</v>
      </c>
      <c r="D28" s="107">
        <v>195</v>
      </c>
      <c r="E28" s="107">
        <v>1801</v>
      </c>
      <c r="F28" s="107">
        <v>30565</v>
      </c>
      <c r="G28" s="108">
        <v>4845</v>
      </c>
      <c r="H28" s="17"/>
      <c r="I28" s="17"/>
    </row>
    <row r="29" spans="2:9" ht="15" customHeight="1">
      <c r="B29" s="278" t="s">
        <v>68</v>
      </c>
      <c r="C29" s="106">
        <v>565</v>
      </c>
      <c r="D29" s="107">
        <v>198</v>
      </c>
      <c r="E29" s="107">
        <v>1886</v>
      </c>
      <c r="F29" s="107">
        <v>34158</v>
      </c>
      <c r="G29" s="108">
        <v>4986</v>
      </c>
      <c r="H29" s="17"/>
      <c r="I29" s="17"/>
    </row>
    <row r="30" spans="2:19" ht="15" customHeight="1">
      <c r="B30" s="278" t="s">
        <v>69</v>
      </c>
      <c r="C30" s="106">
        <v>583</v>
      </c>
      <c r="D30" s="107">
        <v>200</v>
      </c>
      <c r="E30" s="107">
        <v>1955</v>
      </c>
      <c r="F30" s="107">
        <v>34103</v>
      </c>
      <c r="G30" s="108">
        <v>5069</v>
      </c>
      <c r="H30" s="18" t="s">
        <v>45</v>
      </c>
      <c r="I30" s="17"/>
      <c r="J30"/>
      <c r="K30"/>
      <c r="L30"/>
      <c r="M30"/>
      <c r="N30"/>
      <c r="O30"/>
      <c r="P30"/>
      <c r="Q30"/>
      <c r="R30"/>
      <c r="S30"/>
    </row>
    <row r="31" spans="2:19" ht="15" customHeight="1">
      <c r="B31" s="278" t="s">
        <v>70</v>
      </c>
      <c r="C31" s="106">
        <f>7171/12</f>
        <v>597.5833333333334</v>
      </c>
      <c r="D31" s="107">
        <f>2475/12</f>
        <v>206.25</v>
      </c>
      <c r="E31" s="107">
        <f>24157/12</f>
        <v>2013.0833333333333</v>
      </c>
      <c r="F31" s="107">
        <f>429374/12</f>
        <v>35781.166666666664</v>
      </c>
      <c r="G31" s="108">
        <v>5400</v>
      </c>
      <c r="H31" s="18" t="s">
        <v>45</v>
      </c>
      <c r="I31" s="17"/>
      <c r="J31"/>
      <c r="K31"/>
      <c r="L31"/>
      <c r="M31"/>
      <c r="N31"/>
      <c r="O31"/>
      <c r="P31"/>
      <c r="Q31"/>
      <c r="R31"/>
      <c r="S31"/>
    </row>
    <row r="32" spans="2:19" ht="15" customHeight="1">
      <c r="B32" s="306" t="s">
        <v>71</v>
      </c>
      <c r="C32" s="106">
        <v>597</v>
      </c>
      <c r="D32" s="107">
        <f>(863154527/355728)/12</f>
        <v>202.20377343550877</v>
      </c>
      <c r="E32" s="107">
        <v>1998</v>
      </c>
      <c r="F32" s="107">
        <v>32472</v>
      </c>
      <c r="G32" s="108">
        <f>+(10110576+339918822+140331886)/(657+3179+3536)/12</f>
        <v>5543.060273105443</v>
      </c>
      <c r="H32" s="18" t="s">
        <v>45</v>
      </c>
      <c r="I32" s="17"/>
      <c r="J32"/>
      <c r="K32"/>
      <c r="L32"/>
      <c r="M32"/>
      <c r="N32"/>
      <c r="O32"/>
      <c r="P32"/>
      <c r="Q32"/>
      <c r="R32"/>
      <c r="S32"/>
    </row>
    <row r="33" spans="2:19" ht="15" customHeight="1">
      <c r="B33" s="306" t="s">
        <v>72</v>
      </c>
      <c r="C33" s="106">
        <v>606</v>
      </c>
      <c r="D33" s="107">
        <f>(937.4/371.357)/12*1000</f>
        <v>210.35463628440195</v>
      </c>
      <c r="E33" s="107">
        <f>+(1181.7/46.048)/12*1000</f>
        <v>2138.5293606671303</v>
      </c>
      <c r="F33" s="107">
        <f>471.5/1.248/12*1000</f>
        <v>31483.707264957266</v>
      </c>
      <c r="G33" s="108">
        <f>508.1/7.83/12*1000</f>
        <v>5407.6202639421035</v>
      </c>
      <c r="H33" s="18" t="s">
        <v>45</v>
      </c>
      <c r="I33" s="205"/>
      <c r="J33"/>
      <c r="K33"/>
      <c r="L33"/>
      <c r="M33"/>
      <c r="N33"/>
      <c r="O33"/>
      <c r="P33"/>
      <c r="Q33"/>
      <c r="R33"/>
      <c r="S33"/>
    </row>
    <row r="34" spans="2:19" ht="15" customHeight="1">
      <c r="B34" s="306">
        <v>1998</v>
      </c>
      <c r="C34" s="106">
        <f>3392273000/451441/(12)</f>
        <v>626.193492985056</v>
      </c>
      <c r="D34" s="107">
        <f>1004619000/392479/(12)</f>
        <v>213.3063170258791</v>
      </c>
      <c r="E34" s="107">
        <v>2198</v>
      </c>
      <c r="F34" s="107">
        <v>34233</v>
      </c>
      <c r="G34" s="108">
        <v>5773</v>
      </c>
      <c r="H34" s="18"/>
      <c r="I34" s="17"/>
      <c r="J34"/>
      <c r="K34"/>
      <c r="L34"/>
      <c r="M34"/>
      <c r="N34"/>
      <c r="O34"/>
      <c r="P34"/>
      <c r="Q34"/>
      <c r="R34"/>
      <c r="S34"/>
    </row>
    <row r="35" spans="2:19" ht="15" customHeight="1">
      <c r="B35" s="306">
        <v>1999</v>
      </c>
      <c r="C35" s="106">
        <f>(3577981000/475782)/(12)</f>
        <v>626.6842447451423</v>
      </c>
      <c r="D35" s="107">
        <f>1041885000/417891/(12)</f>
        <v>207.76649891957473</v>
      </c>
      <c r="E35" s="107">
        <f>1449041000/62386/(12)</f>
        <v>1935.5851740240867</v>
      </c>
      <c r="F35" s="107">
        <f>524298000/1503/(12)</f>
        <v>29069.527611443777</v>
      </c>
      <c r="G35" s="108">
        <f>488284000/7154/(12)</f>
        <v>5687.77373963284</v>
      </c>
      <c r="H35" s="18"/>
      <c r="I35" s="17"/>
      <c r="J35"/>
      <c r="K35"/>
      <c r="L35"/>
      <c r="M35"/>
      <c r="N35"/>
      <c r="O35"/>
      <c r="P35"/>
      <c r="Q35"/>
      <c r="R35"/>
      <c r="S35"/>
    </row>
    <row r="36" spans="2:19" ht="15" customHeight="1">
      <c r="B36" s="307">
        <v>2000</v>
      </c>
      <c r="C36" s="157">
        <f>(3801077000/504024)/(12)</f>
        <v>628.4550272738335</v>
      </c>
      <c r="D36" s="107">
        <f>1118132000/456864/(12)</f>
        <v>203.9505556722934</v>
      </c>
      <c r="E36" s="107">
        <f>1569241000/57328/(12)</f>
        <v>2281.0857405340034</v>
      </c>
      <c r="F36" s="107">
        <f>506384000/1493/(12)</f>
        <v>28264.34471980353</v>
      </c>
      <c r="G36" s="108">
        <f>542660000/7432/(12)</f>
        <v>6084.723717258701</v>
      </c>
      <c r="H36" s="18"/>
      <c r="I36" s="17"/>
      <c r="J36"/>
      <c r="K36"/>
      <c r="L36"/>
      <c r="M36"/>
      <c r="N36"/>
      <c r="O36"/>
      <c r="P36"/>
      <c r="Q36"/>
      <c r="R36"/>
      <c r="S36"/>
    </row>
    <row r="37" spans="2:19" ht="15" customHeight="1">
      <c r="B37" s="307">
        <v>2001</v>
      </c>
      <c r="C37" s="160">
        <f>(3933941000/531819)/(12)</f>
        <v>616.4285530728813</v>
      </c>
      <c r="D37" s="161">
        <f>1161287000/471994/(12)</f>
        <v>205.03209080341415</v>
      </c>
      <c r="E37" s="161">
        <f>1618968000/57588/(12)</f>
        <v>2342.745016322845</v>
      </c>
      <c r="F37" s="161">
        <f>430426000/1478/(12)</f>
        <v>24268.493459630132</v>
      </c>
      <c r="G37" s="162">
        <f>577914000/7543/(12)</f>
        <v>6384.661275354633</v>
      </c>
      <c r="H37" s="18"/>
      <c r="I37" s="17"/>
      <c r="J37"/>
      <c r="K37"/>
      <c r="L37"/>
      <c r="M37"/>
      <c r="N37"/>
      <c r="O37"/>
      <c r="P37"/>
      <c r="Q37"/>
      <c r="R37"/>
      <c r="S37"/>
    </row>
    <row r="38" spans="2:19" ht="15" customHeight="1">
      <c r="B38" s="306">
        <v>2002</v>
      </c>
      <c r="C38" s="106">
        <f>(4113000000/580975)/(12)</f>
        <v>589.9565385773915</v>
      </c>
      <c r="D38" s="107">
        <f>1261020000/512436/(12)</f>
        <v>205.06951111943735</v>
      </c>
      <c r="E38" s="107">
        <f>1733645000/59305/(12)</f>
        <v>2436.0579490205996</v>
      </c>
      <c r="F38" s="107">
        <f>367716000/1369/(12)</f>
        <v>22383.491599707817</v>
      </c>
      <c r="G38" s="108">
        <f>581317000/7865/(12)</f>
        <v>6159.324009324009</v>
      </c>
      <c r="H38" s="18"/>
      <c r="I38" s="17"/>
      <c r="J38"/>
      <c r="K38"/>
      <c r="L38"/>
      <c r="M38"/>
      <c r="N38"/>
      <c r="O38"/>
      <c r="P38"/>
      <c r="Q38"/>
      <c r="R38"/>
      <c r="S38"/>
    </row>
    <row r="39" spans="2:19" ht="15" customHeight="1">
      <c r="B39" s="306">
        <v>2003</v>
      </c>
      <c r="C39" s="106">
        <f>(4306912000/612831)/(12)</f>
        <v>585.6579274438358</v>
      </c>
      <c r="D39" s="107">
        <f>1341254000/543583/(12)</f>
        <v>205.61931971137187</v>
      </c>
      <c r="E39" s="107">
        <f>1947886000/59916/(12)</f>
        <v>2709.1900883459066</v>
      </c>
      <c r="F39" s="107">
        <f>247269000/1406/(12)</f>
        <v>14655.58321479374</v>
      </c>
      <c r="G39" s="108">
        <f>589917000/7926/(12)</f>
        <v>6202.340398687863</v>
      </c>
      <c r="H39" s="18"/>
      <c r="I39" s="17"/>
      <c r="J39"/>
      <c r="K39"/>
      <c r="L39"/>
      <c r="M39"/>
      <c r="N39"/>
      <c r="O39"/>
      <c r="P39"/>
      <c r="Q39"/>
      <c r="R39"/>
      <c r="S39"/>
    </row>
    <row r="40" spans="2:19" ht="15" customHeight="1">
      <c r="B40" s="306">
        <v>2004</v>
      </c>
      <c r="C40" s="106">
        <f>(4595197000/646352)/(12)</f>
        <v>592.4528481900471</v>
      </c>
      <c r="D40" s="107">
        <f>1437748000/575133/(12)</f>
        <v>208.3210897885069</v>
      </c>
      <c r="E40" s="107">
        <f>2065172000/61681/(12)</f>
        <v>2790.1244575585133</v>
      </c>
      <c r="F40" s="107">
        <f>237757000/1391/(12)</f>
        <v>14243.769470404985</v>
      </c>
      <c r="G40" s="108">
        <f>635759000/8147/(12)</f>
        <v>6502.997013215499</v>
      </c>
      <c r="H40" s="18"/>
      <c r="I40" s="17"/>
      <c r="J40"/>
      <c r="K40"/>
      <c r="L40"/>
      <c r="M40"/>
      <c r="N40"/>
      <c r="O40"/>
      <c r="P40"/>
      <c r="Q40"/>
      <c r="R40"/>
      <c r="S40"/>
    </row>
    <row r="41" spans="2:19" ht="15" customHeight="1">
      <c r="B41" s="307">
        <v>2005</v>
      </c>
      <c r="C41" s="220">
        <f>(4780761000/678233)/(12)</f>
        <v>587.4039599960486</v>
      </c>
      <c r="D41" s="221">
        <f>1495830000/605033/(12)</f>
        <v>206.02595230342808</v>
      </c>
      <c r="E41" s="221">
        <f>2176565000/63565/(12)</f>
        <v>2853.4636461365008</v>
      </c>
      <c r="F41" s="221">
        <f>258026000/1354/(12)</f>
        <v>15880.477597242738</v>
      </c>
      <c r="G41" s="222">
        <f>640919000/8281/(12)</f>
        <v>6449.694078814958</v>
      </c>
      <c r="H41" s="18"/>
      <c r="I41"/>
      <c r="J41"/>
      <c r="K41"/>
      <c r="L41"/>
      <c r="M41"/>
      <c r="N41"/>
      <c r="O41"/>
      <c r="P41"/>
      <c r="Q41"/>
      <c r="R41"/>
      <c r="S41"/>
    </row>
    <row r="42" spans="2:19" ht="15" customHeight="1">
      <c r="B42" s="306">
        <v>2006</v>
      </c>
      <c r="C42" s="106">
        <f>(4934037000/712999)/(12)</f>
        <v>576.6764750020687</v>
      </c>
      <c r="D42" s="107">
        <f>1534205000/636449/(12)</f>
        <v>200.88085088776424</v>
      </c>
      <c r="E42" s="107">
        <f>2119402000/66774/(12)</f>
        <v>2644.994059564102</v>
      </c>
      <c r="F42" s="107">
        <f>456367000/1384/(12)</f>
        <v>27478.745183044317</v>
      </c>
      <c r="G42" s="108">
        <f>655054000/8392/(12)</f>
        <v>6504.746584048299</v>
      </c>
      <c r="H42" s="18"/>
      <c r="I42"/>
      <c r="J42"/>
      <c r="K42"/>
      <c r="L42"/>
      <c r="M42"/>
      <c r="N42"/>
      <c r="O42"/>
      <c r="P42"/>
      <c r="Q42"/>
      <c r="R42"/>
      <c r="S42"/>
    </row>
    <row r="43" spans="2:19" ht="15" customHeight="1">
      <c r="B43" s="308">
        <v>2007</v>
      </c>
      <c r="C43" s="160">
        <f>(5297996000/745292)/(12)</f>
        <v>592.3848191939088</v>
      </c>
      <c r="D43" s="161">
        <f>1628463000/665910/(12)</f>
        <v>203.78917571443586</v>
      </c>
      <c r="E43" s="161">
        <f>2326540000/69323/(12)</f>
        <v>2796.738937053118</v>
      </c>
      <c r="F43" s="161">
        <f>470934000/1448/(12)</f>
        <v>27102.555248618784</v>
      </c>
      <c r="G43" s="162">
        <f>696818000/8566/(12)</f>
        <v>6778.912755856487</v>
      </c>
      <c r="H43" s="18"/>
      <c r="I43"/>
      <c r="J43"/>
      <c r="K43"/>
      <c r="L43"/>
      <c r="M43"/>
      <c r="N43" s="242"/>
      <c r="O43"/>
      <c r="P43"/>
      <c r="Q43"/>
      <c r="R43"/>
      <c r="S43"/>
    </row>
    <row r="44" spans="2:19" ht="15" customHeight="1">
      <c r="B44" s="306">
        <v>2008</v>
      </c>
      <c r="C44" s="106">
        <f>(5462171000/775614)/(12)</f>
        <v>586.8652663137419</v>
      </c>
      <c r="D44" s="107">
        <f>1647181000/692177/(12)</f>
        <v>198.3092234115455</v>
      </c>
      <c r="E44" s="107">
        <f>2453216000/73105/(12)</f>
        <v>2796.452591022046</v>
      </c>
      <c r="F44" s="107">
        <f>469613000/1504/(12)</f>
        <v>26020.22384751773</v>
      </c>
      <c r="G44" s="108">
        <f>696132000/8781/(12)</f>
        <v>6606.422958660744</v>
      </c>
      <c r="H44" s="18"/>
      <c r="I44"/>
      <c r="J44"/>
      <c r="K44"/>
      <c r="L44"/>
      <c r="M44"/>
      <c r="N44" s="242"/>
      <c r="O44"/>
      <c r="P44"/>
      <c r="Q44"/>
      <c r="R44"/>
      <c r="S44"/>
    </row>
    <row r="45" spans="2:19" ht="15" customHeight="1">
      <c r="B45" s="308">
        <v>2009</v>
      </c>
      <c r="C45" s="160">
        <f>(5737976000/779767)/(12)</f>
        <v>613.2148021994605</v>
      </c>
      <c r="D45" s="161">
        <f>1801941000/715739/(12)</f>
        <v>209.79959175062416</v>
      </c>
      <c r="E45" s="161">
        <f>2461956000/73029/(12)</f>
        <v>2809.3360171986474</v>
      </c>
      <c r="F45" s="161">
        <f>525207000/1605/(12)</f>
        <v>27269.31464174455</v>
      </c>
      <c r="G45" s="162">
        <f>732216000/9394/(12)</f>
        <v>6495.422610176709</v>
      </c>
      <c r="H45" s="18"/>
      <c r="I45"/>
      <c r="J45"/>
      <c r="K45" s="242"/>
      <c r="L45"/>
      <c r="M45"/>
      <c r="N45" s="242"/>
      <c r="O45"/>
      <c r="P45"/>
      <c r="Q45"/>
      <c r="R45"/>
      <c r="S45"/>
    </row>
    <row r="46" spans="2:19" ht="15" customHeight="1">
      <c r="B46" s="307">
        <v>2010</v>
      </c>
      <c r="C46" s="220">
        <f>(6232500000/824946)/(12)</f>
        <v>629.5866638543614</v>
      </c>
      <c r="D46" s="221">
        <f>1974044000/736611/(12)</f>
        <v>223.32502048797355</v>
      </c>
      <c r="E46" s="221">
        <f>2606639000/76794/(12)</f>
        <v>2828.6053163875654</v>
      </c>
      <c r="F46" s="221">
        <f>470776000/1610/(12)</f>
        <v>24367.28778467909</v>
      </c>
      <c r="G46" s="222">
        <f>750366000/9931/(12)</f>
        <v>6296.495821166046</v>
      </c>
      <c r="H46" s="18"/>
      <c r="I46"/>
      <c r="J46"/>
      <c r="K46" s="242"/>
      <c r="L46"/>
      <c r="M46"/>
      <c r="N46" s="242"/>
      <c r="O46"/>
      <c r="P46"/>
      <c r="Q46"/>
      <c r="R46"/>
      <c r="S46"/>
    </row>
    <row r="47" spans="2:19" ht="15" customHeight="1">
      <c r="B47" s="306">
        <v>2011</v>
      </c>
      <c r="C47" s="106">
        <f>(6599800000/853547)/(12)</f>
        <v>644.350379455769</v>
      </c>
      <c r="D47" s="107">
        <f>2084124000/761941/(12)</f>
        <v>227.94022109323427</v>
      </c>
      <c r="E47" s="107">
        <f>2797018000/79777/(12)</f>
        <v>2921.704668429915</v>
      </c>
      <c r="F47" s="107">
        <f>469784000/1605/(12)</f>
        <v>24391.692627206645</v>
      </c>
      <c r="G47" s="108">
        <f>768600000/10224/(12)</f>
        <v>6264.671361502347</v>
      </c>
      <c r="H47" s="18"/>
      <c r="I47"/>
      <c r="J47"/>
      <c r="K47" s="242"/>
      <c r="L47"/>
      <c r="M47"/>
      <c r="N47" s="242"/>
      <c r="O47"/>
      <c r="P47"/>
      <c r="Q47"/>
      <c r="R47"/>
      <c r="S47"/>
    </row>
    <row r="48" spans="2:19" ht="15" customHeight="1">
      <c r="B48" s="306">
        <v>2012</v>
      </c>
      <c r="C48" s="106">
        <f>(7170300000/883582)/(12)</f>
        <v>676.253024620239</v>
      </c>
      <c r="D48" s="107">
        <f>2248124000/789300/(12)</f>
        <v>237.35419570083195</v>
      </c>
      <c r="E48" s="107">
        <f>3092100000/82162/(12)</f>
        <v>3136.1821766753487</v>
      </c>
      <c r="F48" s="107">
        <f>477090000/1608/(12)</f>
        <v>24724.813432835817</v>
      </c>
      <c r="G48" s="108">
        <f>822400000/10512/(12)</f>
        <v>6519.5332318619985</v>
      </c>
      <c r="H48" s="18"/>
      <c r="I48"/>
      <c r="J48"/>
      <c r="K48" s="242"/>
      <c r="L48"/>
      <c r="M48"/>
      <c r="N48" s="242"/>
      <c r="O48"/>
      <c r="P48"/>
      <c r="Q48"/>
      <c r="R48"/>
      <c r="S48"/>
    </row>
    <row r="49" spans="2:19" ht="15" customHeight="1">
      <c r="B49" s="306">
        <v>2013</v>
      </c>
      <c r="C49" s="106">
        <f>(7501700000/919478)/(12)</f>
        <v>679.8875738915631</v>
      </c>
      <c r="D49" s="107">
        <f>2380000000/822450/(12)</f>
        <v>241.14941131173123</v>
      </c>
      <c r="E49" s="107">
        <f>3236600000/84433/(12)</f>
        <v>3194.4460894042218</v>
      </c>
      <c r="F49" s="107">
        <f>480600000/1775/(12)</f>
        <v>22563.38028169014</v>
      </c>
      <c r="G49" s="108">
        <f>830000000/10820/(12)</f>
        <v>6392.483056069009</v>
      </c>
      <c r="H49" s="18"/>
      <c r="I49"/>
      <c r="J49"/>
      <c r="K49" s="242"/>
      <c r="L49"/>
      <c r="M49"/>
      <c r="N49" s="242"/>
      <c r="O49"/>
      <c r="P49"/>
      <c r="Q49"/>
      <c r="R49"/>
      <c r="S49"/>
    </row>
    <row r="50" spans="2:19" ht="15" customHeight="1">
      <c r="B50" s="306">
        <v>2014</v>
      </c>
      <c r="C50" s="106">
        <f>(7822500000/956218)/(12)</f>
        <v>681.722159591223</v>
      </c>
      <c r="D50" s="107">
        <f>2528300000/855938/(12)</f>
        <v>246.15295344600506</v>
      </c>
      <c r="E50" s="107">
        <f>3372200000/87373/(12)</f>
        <v>3216.2872588404502</v>
      </c>
      <c r="F50" s="107">
        <f>465200000/1808/(12)</f>
        <v>21441.74041297935</v>
      </c>
      <c r="G50" s="108">
        <f>858400000/11099/(12)</f>
        <v>6445.025077334295</v>
      </c>
      <c r="H50" s="18"/>
      <c r="I50"/>
      <c r="J50"/>
      <c r="K50" s="242"/>
      <c r="L50"/>
      <c r="M50"/>
      <c r="N50" s="242"/>
      <c r="O50"/>
      <c r="P50"/>
      <c r="Q50"/>
      <c r="R50"/>
      <c r="S50"/>
    </row>
    <row r="51" spans="2:19" ht="15" customHeight="1">
      <c r="B51" s="306">
        <v>2015</v>
      </c>
      <c r="C51" s="106">
        <f>(8368600000/1004047)/(12)</f>
        <v>694.5723988352471</v>
      </c>
      <c r="D51" s="107">
        <f>2714900000/893172/(12)</f>
        <v>253.3013424812541</v>
      </c>
      <c r="E51" s="107">
        <f>3704100000/97540/(12)</f>
        <v>3164.599138814845</v>
      </c>
      <c r="F51" s="107">
        <f>459200000/1835/(12)</f>
        <v>20853.769300635784</v>
      </c>
      <c r="G51" s="108">
        <f>950200000/11500/(12)</f>
        <v>6885.507246376812</v>
      </c>
      <c r="H51" s="18"/>
      <c r="I51"/>
      <c r="J51"/>
      <c r="K51" s="242"/>
      <c r="L51"/>
      <c r="M51"/>
      <c r="N51" s="242"/>
      <c r="O51"/>
      <c r="P51"/>
      <c r="Q51"/>
      <c r="R51"/>
      <c r="S51"/>
    </row>
    <row r="52" spans="2:19" ht="15" customHeight="1">
      <c r="B52" s="306">
        <v>2016</v>
      </c>
      <c r="C52" s="106">
        <f>(8588500000/1042500)/(12)</f>
        <v>686.5307753796961</v>
      </c>
      <c r="D52" s="107">
        <f>2795100000/928181/(12)</f>
        <v>250.94782159945098</v>
      </c>
      <c r="E52" s="107">
        <f>3876300000/100641/(12)</f>
        <v>3209.67597698751</v>
      </c>
      <c r="F52" s="107">
        <f>449700000/1859/(12)</f>
        <v>20158.687466379775</v>
      </c>
      <c r="G52" s="108">
        <f>994400000/11819/(12)</f>
        <v>7011.3094734467095</v>
      </c>
      <c r="H52" s="18"/>
      <c r="I52"/>
      <c r="J52"/>
      <c r="K52" s="242"/>
      <c r="L52"/>
      <c r="M52"/>
      <c r="N52" s="242"/>
      <c r="O52"/>
      <c r="P52"/>
      <c r="Q52"/>
      <c r="R52"/>
      <c r="S52"/>
    </row>
    <row r="53" spans="2:19" ht="15" customHeight="1">
      <c r="B53" s="306">
        <v>2017</v>
      </c>
      <c r="C53" s="106">
        <f>(8896900000/1075971)/(12)</f>
        <v>689.0597732962443</v>
      </c>
      <c r="D53" s="107">
        <f>2878900000/959029/(12)</f>
        <v>250.15753781515818</v>
      </c>
      <c r="E53" s="107">
        <f>3962600000/102870/(12)</f>
        <v>3210.0385599948154</v>
      </c>
      <c r="F53" s="107">
        <f>407300000/1837/(12)</f>
        <v>18476.68299764108</v>
      </c>
      <c r="G53" s="108">
        <f>1009200000/12235/(12)</f>
        <v>6873.722926031875</v>
      </c>
      <c r="H53" s="18"/>
      <c r="I53"/>
      <c r="J53"/>
      <c r="K53" s="242"/>
      <c r="L53"/>
      <c r="M53"/>
      <c r="N53" s="242"/>
      <c r="O53"/>
      <c r="P53"/>
      <c r="Q53"/>
      <c r="R53"/>
      <c r="S53"/>
    </row>
    <row r="54" spans="2:19" ht="15" customHeight="1">
      <c r="B54" s="306">
        <v>2018</v>
      </c>
      <c r="C54" s="106">
        <f>(9098904230/1103845)/(12)</f>
        <v>686.9098643076399</v>
      </c>
      <c r="D54" s="107">
        <f>2907076000/986100/(12)</f>
        <v>245.67116249197173</v>
      </c>
      <c r="E54" s="107">
        <f>3947607000/103345/(12)</f>
        <v>3183.194639314916</v>
      </c>
      <c r="F54" s="107">
        <f>321404000/1842/(12)</f>
        <v>14540.53564965617</v>
      </c>
      <c r="G54" s="108">
        <f>1025646000/12558/(12)</f>
        <v>6806.059882146838</v>
      </c>
      <c r="H54" s="18"/>
      <c r="I54"/>
      <c r="J54"/>
      <c r="K54" s="242"/>
      <c r="L54"/>
      <c r="M54"/>
      <c r="N54" s="242"/>
      <c r="O54"/>
      <c r="P54"/>
      <c r="Q54"/>
      <c r="R54"/>
      <c r="S54"/>
    </row>
    <row r="55" spans="2:19" ht="15" customHeight="1">
      <c r="B55" s="306">
        <v>2019</v>
      </c>
      <c r="C55" s="106">
        <f>(9623981000/1152294)/(12)</f>
        <v>696.0015557372221</v>
      </c>
      <c r="D55" s="107">
        <f>3057234000/1029909/(12)</f>
        <v>247.3708842237518</v>
      </c>
      <c r="E55" s="107">
        <f>3816752000/107403/(12)</f>
        <v>2961.3946227448646</v>
      </c>
      <c r="F55" s="107">
        <f>255944000/1910/(12)</f>
        <v>11166.841186736476</v>
      </c>
      <c r="G55" s="108">
        <f>1120040000/13072/(12)</f>
        <v>7140.197878416973</v>
      </c>
      <c r="H55" s="18"/>
      <c r="I55"/>
      <c r="J55"/>
      <c r="K55"/>
      <c r="L55"/>
      <c r="M55"/>
      <c r="N55"/>
      <c r="O55"/>
      <c r="P55"/>
      <c r="Q55"/>
      <c r="R55"/>
      <c r="S55"/>
    </row>
    <row r="56" spans="2:19" ht="15" customHeight="1">
      <c r="B56" s="308">
        <v>2020</v>
      </c>
      <c r="C56" s="160">
        <f>(8926681000/1177404)/(12)</f>
        <v>631.8052965110815</v>
      </c>
      <c r="D56" s="161">
        <f>3271190000/1053785/(12)</f>
        <v>258.6857534190244</v>
      </c>
      <c r="E56" s="161">
        <f>2866671000/108390/(12)</f>
        <v>2203.9786880708552</v>
      </c>
      <c r="F56" s="161">
        <f>174415000/1877/(12)</f>
        <v>7743.518025217546</v>
      </c>
      <c r="G56" s="162">
        <f>1008078000/13124/(12)</f>
        <v>6400.982932032916</v>
      </c>
      <c r="H56" s="18"/>
      <c r="I56"/>
      <c r="J56"/>
      <c r="K56"/>
      <c r="L56"/>
      <c r="M56"/>
      <c r="N56"/>
      <c r="O56"/>
      <c r="P56"/>
      <c r="Q56"/>
      <c r="R56"/>
      <c r="S56"/>
    </row>
    <row r="57" spans="2:19" ht="15" customHeight="1" thickBot="1">
      <c r="B57" s="454">
        <v>2021</v>
      </c>
      <c r="C57" s="455">
        <f>(9689007400/1212469)/(12)</f>
        <v>665.9281873048575</v>
      </c>
      <c r="D57" s="456">
        <f>3321029000/1088222/(12)</f>
        <v>254.31613831246443</v>
      </c>
      <c r="E57" s="456">
        <f>3164045000/108922/(12)</f>
        <v>2420.7269116125913</v>
      </c>
      <c r="F57" s="456">
        <f>172055000/1851/(12)</f>
        <v>7746.038177561678</v>
      </c>
      <c r="G57" s="457">
        <f>1068099000/13247/(12)</f>
        <v>6719.125084924889</v>
      </c>
      <c r="H57" s="18"/>
      <c r="I57"/>
      <c r="J57"/>
      <c r="K57"/>
      <c r="L57"/>
      <c r="M57"/>
      <c r="N57"/>
      <c r="O57"/>
      <c r="P57"/>
      <c r="Q57"/>
      <c r="R57"/>
      <c r="S57"/>
    </row>
    <row r="58" spans="2:19" ht="15" customHeight="1" thickBot="1">
      <c r="B58" s="10"/>
      <c r="C58" s="18" t="s">
        <v>45</v>
      </c>
      <c r="D58" s="17"/>
      <c r="E58" s="17"/>
      <c r="F58" s="17"/>
      <c r="G58" s="17"/>
      <c r="H58" s="17"/>
      <c r="I58"/>
      <c r="J58"/>
      <c r="K58"/>
      <c r="L58"/>
      <c r="M58"/>
      <c r="N58"/>
      <c r="O58"/>
      <c r="P58"/>
      <c r="Q58"/>
      <c r="R58"/>
      <c r="S58"/>
    </row>
    <row r="59" spans="2:19" s="48" customFormat="1" ht="24.75" customHeight="1" thickBot="1">
      <c r="B59" s="483" t="s">
        <v>75</v>
      </c>
      <c r="C59" s="484"/>
      <c r="D59" s="484"/>
      <c r="E59" s="484"/>
      <c r="F59" s="484"/>
      <c r="G59" s="485"/>
      <c r="H59" s="102"/>
      <c r="I59"/>
      <c r="J59"/>
      <c r="K59"/>
      <c r="L59"/>
      <c r="M59"/>
      <c r="N59"/>
      <c r="O59"/>
      <c r="P59"/>
      <c r="Q59"/>
      <c r="R59"/>
      <c r="S59"/>
    </row>
    <row r="60" spans="2:19" ht="15" customHeight="1">
      <c r="B60" s="281" t="s">
        <v>76</v>
      </c>
      <c r="C60" s="84">
        <f>RATE(10,,-C6,C16)*100</f>
        <v>2.7248903895198304</v>
      </c>
      <c r="D60" s="85">
        <f>RATE(10,,-D6,D16)*100</f>
        <v>1.9889924794673608</v>
      </c>
      <c r="E60" s="85">
        <f>RATE(10,,-E6,E16)*100</f>
        <v>4.699993577572931</v>
      </c>
      <c r="F60" s="85">
        <f>RATE(10,,-F6,F16)*100</f>
        <v>6.577200570194622</v>
      </c>
      <c r="G60" s="86">
        <f>RATE(10,,-G6,G16)*100</f>
        <v>5.1579585571598</v>
      </c>
      <c r="H60" s="17"/>
      <c r="I60"/>
      <c r="J60"/>
      <c r="K60"/>
      <c r="L60"/>
      <c r="M60"/>
      <c r="N60"/>
      <c r="O60"/>
      <c r="P60"/>
      <c r="Q60"/>
      <c r="R60"/>
      <c r="S60"/>
    </row>
    <row r="61" spans="2:19" ht="15" customHeight="1">
      <c r="B61" s="282" t="s">
        <v>77</v>
      </c>
      <c r="C61" s="87">
        <f>RATE(10,,-C16,C26)*100</f>
        <v>0.17195091960882497</v>
      </c>
      <c r="D61" s="35">
        <f>RATE(10,,-D16,D26)*100</f>
        <v>0.15767864551366736</v>
      </c>
      <c r="E61" s="35">
        <f>RATE(10,,-E16,E26)*100</f>
        <v>-0.7161424580247391</v>
      </c>
      <c r="F61" s="35">
        <f>RATE(10,,-F16,F26)*100</f>
        <v>3.2814881567086833</v>
      </c>
      <c r="G61" s="36">
        <f>RATE(10,,-G16,G26)*100</f>
        <v>-1.3436155225150535</v>
      </c>
      <c r="H61" s="17"/>
      <c r="I61"/>
      <c r="J61"/>
      <c r="K61" s="242"/>
      <c r="L61"/>
      <c r="M61"/>
      <c r="N61" s="242"/>
      <c r="O61"/>
      <c r="P61"/>
      <c r="Q61"/>
      <c r="R61"/>
      <c r="S61"/>
    </row>
    <row r="62" spans="2:19" ht="15" customHeight="1">
      <c r="B62" s="282" t="s">
        <v>78</v>
      </c>
      <c r="C62" s="87">
        <f>RATE(10,,-C26,C36)*100</f>
        <v>1.9402196385252521</v>
      </c>
      <c r="D62" s="87">
        <f>RATE(10,,-D26,D36)*100</f>
        <v>0.8939684770213764</v>
      </c>
      <c r="E62" s="87">
        <f>RATE(10,,-E26,E36)*100</f>
        <v>2.9985357433175897</v>
      </c>
      <c r="F62" s="87">
        <f>RATE(10,,-F26,F36)*100</f>
        <v>1.3056129460302113</v>
      </c>
      <c r="G62" s="36">
        <f>RATE(10,,-G26,G36)*100</f>
        <v>2.012117498985832</v>
      </c>
      <c r="H62" s="17"/>
      <c r="I62" s="17"/>
      <c r="J62"/>
      <c r="K62" s="242"/>
      <c r="L62"/>
      <c r="M62"/>
      <c r="N62" s="242"/>
      <c r="O62"/>
      <c r="P62"/>
      <c r="Q62"/>
      <c r="R62"/>
      <c r="S62"/>
    </row>
    <row r="63" spans="2:19" ht="15" customHeight="1">
      <c r="B63" s="282" t="s">
        <v>145</v>
      </c>
      <c r="C63" s="348">
        <f>RATE(10,,-C36,C46)*100</f>
        <v>0.017992069628952587</v>
      </c>
      <c r="D63" s="35">
        <f>RATE(10,,-D36,D46)*100</f>
        <v>0.9116364317230854</v>
      </c>
      <c r="E63" s="35">
        <f>RATE(10,,-E36,E46)*100</f>
        <v>2.1746301568765207</v>
      </c>
      <c r="F63" s="35">
        <f>RATE(10,,-F36,F46)*100</f>
        <v>-1.472644328712644</v>
      </c>
      <c r="G63" s="36">
        <f>RATE(10,,-G36,G46)*100</f>
        <v>0.34270527913257726</v>
      </c>
      <c r="H63" s="17"/>
      <c r="I63" s="17"/>
      <c r="J63"/>
      <c r="K63"/>
      <c r="L63"/>
      <c r="M63"/>
      <c r="N63" s="242"/>
      <c r="O63"/>
      <c r="P63"/>
      <c r="Q63"/>
      <c r="R63"/>
      <c r="S63"/>
    </row>
    <row r="64" spans="2:19" ht="15" customHeight="1" thickBot="1">
      <c r="B64" s="335" t="s">
        <v>190</v>
      </c>
      <c r="C64" s="446">
        <f>RATE(11,,-C46,C57)*100</f>
        <v>0.5114701374272975</v>
      </c>
      <c r="D64" s="213">
        <f>RATE(11,,-D46,D57)*100</f>
        <v>1.1883686602135084</v>
      </c>
      <c r="E64" s="213">
        <f>RATE(11,,-E46,E57)*100</f>
        <v>-1.4056265754821753</v>
      </c>
      <c r="F64" s="213">
        <f>RATE(11,,-F46,F57)*100</f>
        <v>-9.894346648605733</v>
      </c>
      <c r="G64" s="37">
        <f>RATE(11,,-G46,G57)*100</f>
        <v>0.5923355059402048</v>
      </c>
      <c r="H64" s="17"/>
      <c r="I64" s="17"/>
      <c r="J64"/>
      <c r="K64"/>
      <c r="L64"/>
      <c r="M64"/>
      <c r="N64" s="242"/>
      <c r="O64"/>
      <c r="P64"/>
      <c r="Q64"/>
      <c r="R64"/>
      <c r="S64"/>
    </row>
    <row r="65" spans="2:19" ht="15" customHeight="1">
      <c r="B65" s="9"/>
      <c r="C65" s="194"/>
      <c r="D65" s="195"/>
      <c r="E65" s="195"/>
      <c r="F65" s="195"/>
      <c r="G65" s="195"/>
      <c r="H65" s="17"/>
      <c r="I65" s="17"/>
      <c r="J65" s="242"/>
      <c r="K65" s="242"/>
      <c r="L65" s="242"/>
      <c r="M65" s="242"/>
      <c r="N65" s="242"/>
      <c r="O65"/>
      <c r="P65"/>
      <c r="Q65"/>
      <c r="R65"/>
      <c r="S65"/>
    </row>
    <row r="66" spans="2:19" ht="15" customHeight="1">
      <c r="B66"/>
      <c r="C66"/>
      <c r="D66"/>
      <c r="E66"/>
      <c r="F66"/>
      <c r="G66"/>
      <c r="H66"/>
      <c r="I66"/>
      <c r="J66" s="242"/>
      <c r="K66" s="242"/>
      <c r="L66" s="242"/>
      <c r="M66" s="242"/>
      <c r="N66" s="242"/>
      <c r="O66"/>
      <c r="P66"/>
      <c r="Q66"/>
      <c r="R66"/>
      <c r="S66"/>
    </row>
    <row r="67" spans="2:19" ht="15" customHeight="1">
      <c r="B67"/>
      <c r="C67" s="242"/>
      <c r="D67" s="242"/>
      <c r="E67" s="242"/>
      <c r="F67" s="242"/>
      <c r="G67" s="242"/>
      <c r="H67"/>
      <c r="I67"/>
      <c r="J67"/>
      <c r="K67"/>
      <c r="L67"/>
      <c r="M67"/>
      <c r="N67"/>
      <c r="O67"/>
      <c r="P67"/>
      <c r="Q67"/>
      <c r="R67"/>
      <c r="S67"/>
    </row>
    <row r="68" spans="2:19" ht="15" customHeight="1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2:14" ht="15" customHeight="1"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2:14" ht="15" customHeight="1">
      <c r="B70"/>
      <c r="C70" s="242"/>
      <c r="D70" s="242"/>
      <c r="E70" s="242"/>
      <c r="F70" s="242"/>
      <c r="G70" s="242"/>
      <c r="H70"/>
      <c r="I70"/>
      <c r="J70"/>
      <c r="K70"/>
      <c r="L70"/>
      <c r="M70"/>
      <c r="N70"/>
    </row>
    <row r="71" spans="2:14" ht="15" customHeight="1">
      <c r="B71"/>
      <c r="C71" s="242"/>
      <c r="D71" s="242"/>
      <c r="E71" s="242"/>
      <c r="F71" s="242"/>
      <c r="G71" s="242"/>
      <c r="H71"/>
      <c r="I71"/>
      <c r="J71"/>
      <c r="K71"/>
      <c r="L71"/>
      <c r="M71"/>
      <c r="N71"/>
    </row>
    <row r="72" spans="2:14" ht="15" customHeight="1"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2:14" ht="15" customHeight="1"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2:14" ht="15" customHeight="1"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2:14" ht="15" customHeight="1"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2:14" ht="15" customHeight="1"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2:14" ht="15" customHeight="1"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2:9" ht="15" customHeight="1">
      <c r="B78"/>
      <c r="C78"/>
      <c r="D78"/>
      <c r="E78"/>
      <c r="F78"/>
      <c r="G78"/>
      <c r="H78"/>
      <c r="I78" s="17"/>
    </row>
    <row r="79" spans="2:9" ht="15" customHeight="1">
      <c r="B79"/>
      <c r="C79"/>
      <c r="D79"/>
      <c r="E79"/>
      <c r="F79"/>
      <c r="G79"/>
      <c r="H79"/>
      <c r="I79" s="17"/>
    </row>
    <row r="80" spans="2:10" ht="15" customHeight="1">
      <c r="B80" s="10"/>
      <c r="C80" s="17"/>
      <c r="D80" s="205"/>
      <c r="E80" s="205"/>
      <c r="F80" s="205"/>
      <c r="G80" s="205"/>
      <c r="H80" s="17"/>
      <c r="I80" s="17"/>
      <c r="J80" s="229"/>
    </row>
    <row r="81" spans="2:9" ht="15" customHeight="1">
      <c r="B81" s="10"/>
      <c r="C81" s="17"/>
      <c r="D81" s="17"/>
      <c r="E81" s="17"/>
      <c r="F81" s="17"/>
      <c r="G81" s="17"/>
      <c r="H81" s="17"/>
      <c r="I81" s="17"/>
    </row>
    <row r="82" spans="2:9" ht="15" customHeight="1">
      <c r="B82" s="10"/>
      <c r="C82" s="17"/>
      <c r="D82" s="17"/>
      <c r="E82" s="17"/>
      <c r="F82" s="17"/>
      <c r="G82" s="17"/>
      <c r="H82" s="17"/>
      <c r="I82" s="17"/>
    </row>
    <row r="83" spans="2:9" ht="15" customHeight="1">
      <c r="B83" s="10"/>
      <c r="C83" s="17"/>
      <c r="D83" s="17"/>
      <c r="E83" s="17"/>
      <c r="F83" s="17"/>
      <c r="G83" s="17"/>
      <c r="H83" s="17"/>
      <c r="I83" s="17"/>
    </row>
    <row r="84" spans="2:9" ht="15" customHeight="1">
      <c r="B84" s="10"/>
      <c r="C84" s="17"/>
      <c r="D84" s="17"/>
      <c r="E84" s="17"/>
      <c r="F84" s="17"/>
      <c r="G84" s="17"/>
      <c r="H84" s="17"/>
      <c r="I84" s="17"/>
    </row>
    <row r="85" spans="2:9" ht="15" customHeight="1">
      <c r="B85" s="10"/>
      <c r="C85" s="17"/>
      <c r="D85" s="17"/>
      <c r="E85" s="17"/>
      <c r="F85" s="17"/>
      <c r="G85" s="17"/>
      <c r="H85" s="17"/>
      <c r="I85" s="17"/>
    </row>
    <row r="86" spans="2:9" ht="15" customHeight="1">
      <c r="B86" s="10"/>
      <c r="C86" s="17"/>
      <c r="D86" s="17"/>
      <c r="E86" s="17"/>
      <c r="F86" s="17"/>
      <c r="G86" s="17"/>
      <c r="H86" s="17"/>
      <c r="I86" s="17"/>
    </row>
    <row r="87" spans="2:9" ht="15" customHeight="1">
      <c r="B87" s="10"/>
      <c r="C87" s="17"/>
      <c r="D87" s="17"/>
      <c r="E87" s="17"/>
      <c r="F87" s="17"/>
      <c r="G87" s="17"/>
      <c r="H87" s="17"/>
      <c r="I87" s="17"/>
    </row>
    <row r="88" spans="2:9" ht="15" customHeight="1">
      <c r="B88" s="10"/>
      <c r="C88" s="17"/>
      <c r="D88" s="17"/>
      <c r="E88" s="17"/>
      <c r="F88" s="17"/>
      <c r="G88" s="17"/>
      <c r="H88" s="17"/>
      <c r="I88" s="17"/>
    </row>
    <row r="89" spans="2:9" ht="15" customHeight="1">
      <c r="B89" s="10"/>
      <c r="C89" s="17"/>
      <c r="D89" s="17"/>
      <c r="E89" s="17"/>
      <c r="F89" s="17"/>
      <c r="G89" s="17"/>
      <c r="H89" s="17"/>
      <c r="I89" s="17"/>
    </row>
    <row r="90" spans="2:9" ht="15" customHeight="1">
      <c r="B90" s="10"/>
      <c r="C90" s="17"/>
      <c r="D90" s="17"/>
      <c r="E90" s="17"/>
      <c r="F90" s="17"/>
      <c r="G90" s="17"/>
      <c r="H90" s="17"/>
      <c r="I90" s="17"/>
    </row>
    <row r="91" spans="2:9" ht="15" customHeight="1">
      <c r="B91" s="10"/>
      <c r="C91" s="17"/>
      <c r="D91" s="17"/>
      <c r="E91" s="17"/>
      <c r="F91" s="17"/>
      <c r="G91" s="17"/>
      <c r="H91" s="17"/>
      <c r="I91" s="17"/>
    </row>
    <row r="92" spans="2:9" ht="15" customHeight="1">
      <c r="B92" s="10"/>
      <c r="C92" s="17"/>
      <c r="D92" s="17"/>
      <c r="E92" s="17"/>
      <c r="F92" s="17"/>
      <c r="G92" s="17"/>
      <c r="H92" s="17"/>
      <c r="I92" s="17"/>
    </row>
    <row r="93" spans="2:9" ht="15" customHeight="1">
      <c r="B93" s="10"/>
      <c r="C93" s="17"/>
      <c r="D93" s="17"/>
      <c r="E93" s="17"/>
      <c r="F93" s="17"/>
      <c r="G93" s="17"/>
      <c r="H93" s="17"/>
      <c r="I93" s="17"/>
    </row>
    <row r="94" spans="2:9" ht="15" customHeight="1">
      <c r="B94" s="10"/>
      <c r="C94" s="17"/>
      <c r="D94" s="17"/>
      <c r="E94" s="17"/>
      <c r="F94" s="17"/>
      <c r="G94" s="17"/>
      <c r="H94" s="17"/>
      <c r="I94" s="17"/>
    </row>
    <row r="95" spans="2:9" ht="15" customHeight="1">
      <c r="B95" s="10"/>
      <c r="C95" s="17"/>
      <c r="D95" s="17"/>
      <c r="E95" s="17"/>
      <c r="F95" s="17"/>
      <c r="G95" s="17"/>
      <c r="H95" s="17"/>
      <c r="I95" s="17"/>
    </row>
    <row r="96" spans="2:9" ht="15" customHeight="1">
      <c r="B96" s="10"/>
      <c r="C96" s="17"/>
      <c r="D96" s="17"/>
      <c r="E96" s="17"/>
      <c r="F96" s="17"/>
      <c r="G96" s="17"/>
      <c r="H96" s="17"/>
      <c r="I96" s="17"/>
    </row>
    <row r="97" spans="2:9" ht="15" customHeight="1">
      <c r="B97" s="10"/>
      <c r="C97" s="17"/>
      <c r="D97" s="17"/>
      <c r="E97" s="17"/>
      <c r="F97" s="17"/>
      <c r="G97" s="17"/>
      <c r="H97" s="17"/>
      <c r="I97" s="17"/>
    </row>
    <row r="98" spans="2:9" ht="15" customHeight="1">
      <c r="B98" s="10"/>
      <c r="C98" s="17"/>
      <c r="D98" s="17"/>
      <c r="E98" s="17"/>
      <c r="F98" s="17"/>
      <c r="G98" s="17"/>
      <c r="H98" s="17"/>
      <c r="I98" s="17"/>
    </row>
  </sheetData>
  <sheetProtection/>
  <mergeCells count="5">
    <mergeCell ref="B59:G59"/>
    <mergeCell ref="B1:G1"/>
    <mergeCell ref="B2:G2"/>
    <mergeCell ref="B3:G3"/>
    <mergeCell ref="B4:G4"/>
  </mergeCells>
  <printOptions horizontalCentered="1"/>
  <pageMargins left="0.7874015748031497" right="0.3937007874015748" top="0.3937007874015748" bottom="0.7874015748031497" header="0" footer="0"/>
  <pageSetup fitToHeight="1" fitToWidth="1" horizontalDpi="300" verticalDpi="300" orientation="portrait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B1:H57"/>
  <sheetViews>
    <sheetView zoomScalePageLayoutView="0" workbookViewId="0" topLeftCell="A1">
      <selection activeCell="H22" sqref="H22"/>
    </sheetView>
  </sheetViews>
  <sheetFormatPr defaultColWidth="11.421875" defaultRowHeight="15" customHeight="1"/>
  <cols>
    <col min="1" max="1" width="2.7109375" style="13" customWidth="1"/>
    <col min="2" max="2" width="30.7109375" style="13" customWidth="1"/>
    <col min="3" max="6" width="15.7109375" style="13" customWidth="1"/>
    <col min="7" max="7" width="11.421875" style="13" customWidth="1"/>
    <col min="8" max="8" width="22.140625" style="13" bestFit="1" customWidth="1"/>
    <col min="9" max="16384" width="11.421875" style="13" customWidth="1"/>
  </cols>
  <sheetData>
    <row r="1" spans="2:6" ht="15" customHeight="1">
      <c r="B1" s="479" t="s">
        <v>39</v>
      </c>
      <c r="C1" s="479"/>
      <c r="D1" s="479"/>
      <c r="E1" s="479"/>
      <c r="F1" s="479"/>
    </row>
    <row r="2" spans="2:6" s="6" customFormat="1" ht="15" customHeight="1">
      <c r="B2" s="479" t="s">
        <v>2</v>
      </c>
      <c r="C2" s="479"/>
      <c r="D2" s="479"/>
      <c r="E2" s="479"/>
      <c r="F2" s="479"/>
    </row>
    <row r="3" spans="2:6" ht="15" customHeight="1">
      <c r="B3" s="479" t="s">
        <v>3</v>
      </c>
      <c r="C3" s="479"/>
      <c r="D3" s="479"/>
      <c r="E3" s="479"/>
      <c r="F3" s="479"/>
    </row>
    <row r="4" spans="2:6" ht="15" customHeight="1">
      <c r="B4" s="479">
        <v>2021</v>
      </c>
      <c r="C4" s="479"/>
      <c r="D4" s="479"/>
      <c r="E4" s="479"/>
      <c r="F4" s="479"/>
    </row>
    <row r="5" spans="2:6" ht="15" customHeight="1" thickBot="1">
      <c r="B5" s="479" t="s">
        <v>119</v>
      </c>
      <c r="C5" s="479"/>
      <c r="D5" s="479"/>
      <c r="E5" s="479"/>
      <c r="F5" s="479"/>
    </row>
    <row r="6" spans="2:6" s="51" customFormat="1" ht="45" customHeight="1" thickBot="1">
      <c r="B6" s="264" t="s">
        <v>120</v>
      </c>
      <c r="C6" s="289" t="s">
        <v>134</v>
      </c>
      <c r="D6" s="260" t="s">
        <v>144</v>
      </c>
      <c r="E6" s="260" t="s">
        <v>135</v>
      </c>
      <c r="F6" s="258" t="s">
        <v>47</v>
      </c>
    </row>
    <row r="7" spans="2:6" ht="15" customHeight="1">
      <c r="B7" s="290"/>
      <c r="C7" s="66"/>
      <c r="D7" s="34"/>
      <c r="E7" s="34"/>
      <c r="F7" s="57"/>
    </row>
    <row r="8" spans="2:6" ht="15" customHeight="1">
      <c r="B8" s="244" t="s">
        <v>47</v>
      </c>
      <c r="C8" s="67">
        <f>+C22+C24+C26</f>
        <v>4115131</v>
      </c>
      <c r="D8" s="52">
        <f>+D22+D24+D26</f>
        <v>2942110</v>
      </c>
      <c r="E8" s="52">
        <f>+E22+E24+E26</f>
        <v>918862</v>
      </c>
      <c r="F8" s="58">
        <f>SUM(C8:E8)+F28</f>
        <v>9689009</v>
      </c>
    </row>
    <row r="9" spans="2:6" ht="15" customHeight="1" thickBot="1">
      <c r="B9" s="309"/>
      <c r="C9" s="68"/>
      <c r="D9" s="69"/>
      <c r="E9" s="69"/>
      <c r="F9" s="70"/>
    </row>
    <row r="10" spans="2:6" ht="15" customHeight="1">
      <c r="B10" s="291"/>
      <c r="C10" s="96"/>
      <c r="D10" s="93"/>
      <c r="E10" s="93"/>
      <c r="F10" s="94"/>
    </row>
    <row r="11" spans="2:8" ht="15" customHeight="1">
      <c r="B11" s="245" t="s">
        <v>87</v>
      </c>
      <c r="C11" s="97">
        <v>1473651</v>
      </c>
      <c r="D11" s="53">
        <v>1472819</v>
      </c>
      <c r="E11" s="53">
        <v>374559</v>
      </c>
      <c r="F11" s="60">
        <f>SUM(C11:E11)</f>
        <v>3321029</v>
      </c>
      <c r="H11" s="214"/>
    </row>
    <row r="12" spans="2:6" ht="15" customHeight="1">
      <c r="B12" s="245" t="s">
        <v>88</v>
      </c>
      <c r="C12" s="97">
        <v>1951178</v>
      </c>
      <c r="D12" s="53">
        <v>858134</v>
      </c>
      <c r="E12" s="53">
        <v>354733</v>
      </c>
      <c r="F12" s="60">
        <f>SUM(C12:E12)</f>
        <v>3164045</v>
      </c>
    </row>
    <row r="13" spans="2:8" ht="15" customHeight="1">
      <c r="B13" s="245" t="s">
        <v>89</v>
      </c>
      <c r="C13" s="97">
        <v>84183</v>
      </c>
      <c r="D13" s="53">
        <v>46482</v>
      </c>
      <c r="E13" s="53">
        <v>41390</v>
      </c>
      <c r="F13" s="60">
        <f>SUM(C13:E13)</f>
        <v>172055</v>
      </c>
      <c r="H13" s="215"/>
    </row>
    <row r="14" spans="2:8" ht="15" customHeight="1">
      <c r="B14" s="245"/>
      <c r="C14" s="97"/>
      <c r="D14" s="53"/>
      <c r="E14" s="53"/>
      <c r="F14" s="60"/>
      <c r="H14" s="215"/>
    </row>
    <row r="15" spans="2:8" ht="15" customHeight="1">
      <c r="B15" s="292" t="s">
        <v>4</v>
      </c>
      <c r="C15" s="98">
        <f>SUM(C11:C13)</f>
        <v>3509012</v>
      </c>
      <c r="D15" s="52">
        <f>SUM(D11:D13)</f>
        <v>2377435</v>
      </c>
      <c r="E15" s="52">
        <f>SUM(E11:E13)</f>
        <v>770682</v>
      </c>
      <c r="F15" s="58">
        <f>SUM(F11:F13)</f>
        <v>6657129</v>
      </c>
      <c r="H15" s="215"/>
    </row>
    <row r="16" spans="2:8" ht="15" customHeight="1">
      <c r="B16" s="292"/>
      <c r="C16" s="98"/>
      <c r="D16" s="52"/>
      <c r="E16" s="52"/>
      <c r="F16" s="58"/>
      <c r="H16" s="215"/>
    </row>
    <row r="17" spans="2:8" ht="15" customHeight="1">
      <c r="B17" s="245"/>
      <c r="C17" s="97"/>
      <c r="D17" s="53"/>
      <c r="E17" s="53"/>
      <c r="F17" s="59"/>
      <c r="H17" s="215"/>
    </row>
    <row r="18" spans="2:8" ht="15" customHeight="1">
      <c r="B18" s="245" t="s">
        <v>90</v>
      </c>
      <c r="C18" s="97">
        <v>482246</v>
      </c>
      <c r="D18" s="53">
        <v>480004</v>
      </c>
      <c r="E18" s="53">
        <v>105849</v>
      </c>
      <c r="F18" s="60">
        <f>+C18+D18+E18</f>
        <v>1068099</v>
      </c>
      <c r="H18" s="215"/>
    </row>
    <row r="19" spans="2:8" ht="15" customHeight="1">
      <c r="B19" s="245"/>
      <c r="C19" s="98"/>
      <c r="D19" s="53"/>
      <c r="E19" s="53"/>
      <c r="F19" s="60"/>
      <c r="H19" s="215"/>
    </row>
    <row r="20" spans="2:8" ht="15" customHeight="1">
      <c r="B20" s="245" t="s">
        <v>94</v>
      </c>
      <c r="C20" s="97">
        <v>120217</v>
      </c>
      <c r="D20" s="53">
        <v>82093</v>
      </c>
      <c r="E20" s="53">
        <v>41598</v>
      </c>
      <c r="F20" s="60">
        <f>SUM(C20:E20)</f>
        <v>243908</v>
      </c>
      <c r="H20" s="215"/>
    </row>
    <row r="21" spans="2:8" ht="15" customHeight="1">
      <c r="B21" s="245"/>
      <c r="C21" s="97"/>
      <c r="D21" s="53"/>
      <c r="E21" s="53"/>
      <c r="F21" s="59"/>
      <c r="H21" s="215"/>
    </row>
    <row r="22" spans="2:8" ht="15" customHeight="1">
      <c r="B22" s="293" t="s">
        <v>95</v>
      </c>
      <c r="C22" s="99">
        <f>+C15+C18+C20</f>
        <v>4111475</v>
      </c>
      <c r="D22" s="54">
        <f>+D15+D18+D20</f>
        <v>2939532</v>
      </c>
      <c r="E22" s="54">
        <f>+E15+E18+E20</f>
        <v>918129</v>
      </c>
      <c r="F22" s="61">
        <f>+F15+F18+F20</f>
        <v>7969136</v>
      </c>
      <c r="H22" s="215"/>
    </row>
    <row r="23" spans="2:8" ht="15" customHeight="1">
      <c r="B23" s="293"/>
      <c r="C23" s="100"/>
      <c r="D23" s="55"/>
      <c r="E23" s="55"/>
      <c r="F23" s="16"/>
      <c r="H23" s="215"/>
    </row>
    <row r="24" spans="2:8" ht="15" customHeight="1">
      <c r="B24" s="293" t="s">
        <v>96</v>
      </c>
      <c r="C24" s="100">
        <v>3656</v>
      </c>
      <c r="D24" s="55"/>
      <c r="E24" s="55">
        <v>733</v>
      </c>
      <c r="F24" s="62">
        <f>SUM(C24:E24)</f>
        <v>4389</v>
      </c>
      <c r="H24" s="215"/>
    </row>
    <row r="25" spans="2:8" ht="15" customHeight="1">
      <c r="B25" s="293"/>
      <c r="C25" s="100"/>
      <c r="D25" s="55"/>
      <c r="E25" s="55"/>
      <c r="F25" s="62"/>
      <c r="H25" s="215"/>
    </row>
    <row r="26" spans="2:8" ht="15" customHeight="1">
      <c r="B26" s="293" t="s">
        <v>97</v>
      </c>
      <c r="C26" s="100"/>
      <c r="D26" s="56">
        <v>2578</v>
      </c>
      <c r="E26" s="55"/>
      <c r="F26" s="62">
        <f>SUM(C26:E26)</f>
        <v>2578</v>
      </c>
      <c r="G26" s="49"/>
      <c r="H26" s="215"/>
    </row>
    <row r="27" spans="2:8" ht="15" customHeight="1">
      <c r="B27" s="310"/>
      <c r="C27" s="163"/>
      <c r="D27" s="164"/>
      <c r="E27" s="165"/>
      <c r="F27" s="166"/>
      <c r="H27" s="216"/>
    </row>
    <row r="28" spans="2:8" ht="15" customHeight="1">
      <c r="B28" s="310" t="s">
        <v>40</v>
      </c>
      <c r="C28" s="163"/>
      <c r="D28" s="164"/>
      <c r="E28" s="165"/>
      <c r="F28" s="167">
        <v>1712906</v>
      </c>
      <c r="H28" s="215"/>
    </row>
    <row r="29" spans="2:6" ht="15" customHeight="1" thickBot="1">
      <c r="B29" s="294"/>
      <c r="C29" s="101"/>
      <c r="D29" s="63"/>
      <c r="E29" s="63"/>
      <c r="F29" s="65"/>
    </row>
    <row r="30" spans="2:5" ht="15" customHeight="1">
      <c r="B30" s="48"/>
      <c r="C30" s="49"/>
      <c r="D30" s="49"/>
      <c r="E30" s="49"/>
    </row>
    <row r="31" spans="2:6" s="4" customFormat="1" ht="15" customHeight="1">
      <c r="B31" s="493" t="s">
        <v>5</v>
      </c>
      <c r="C31" s="493"/>
      <c r="D31" s="493"/>
      <c r="E31" s="493"/>
      <c r="F31" s="493"/>
    </row>
    <row r="32" spans="2:6" ht="15" customHeight="1">
      <c r="B32" s="50" t="s">
        <v>99</v>
      </c>
      <c r="F32" s="49"/>
    </row>
    <row r="33" spans="2:6" ht="15" customHeight="1">
      <c r="B33" s="50"/>
      <c r="C33" s="202"/>
      <c r="D33" s="202"/>
      <c r="E33" s="202"/>
      <c r="F33" s="202"/>
    </row>
    <row r="34" ht="15" customHeight="1">
      <c r="B34" s="50"/>
    </row>
    <row r="35" ht="15" customHeight="1">
      <c r="B35" s="50"/>
    </row>
    <row r="36" ht="15" customHeight="1">
      <c r="B36" s="50"/>
    </row>
    <row r="37" spans="2:5" ht="15" customHeight="1">
      <c r="B37" s="50"/>
      <c r="E37" s="49"/>
    </row>
    <row r="38" ht="15" customHeight="1">
      <c r="B38" s="50"/>
    </row>
    <row r="39" ht="15" customHeight="1">
      <c r="B39" s="50"/>
    </row>
    <row r="40" ht="15" customHeight="1">
      <c r="B40" s="50"/>
    </row>
    <row r="41" spans="2:6" ht="15" customHeight="1">
      <c r="B41" s="50"/>
      <c r="F41" s="49"/>
    </row>
    <row r="42" ht="15" customHeight="1">
      <c r="B42" s="50"/>
    </row>
    <row r="43" ht="15" customHeight="1">
      <c r="B43" s="50"/>
    </row>
    <row r="44" ht="15" customHeight="1">
      <c r="B44" s="50"/>
    </row>
    <row r="45" ht="15" customHeight="1">
      <c r="B45" s="50"/>
    </row>
    <row r="46" ht="15" customHeight="1">
      <c r="B46" s="50"/>
    </row>
    <row r="47" ht="15" customHeight="1">
      <c r="B47" s="50"/>
    </row>
    <row r="48" ht="15" customHeight="1">
      <c r="B48" s="50"/>
    </row>
    <row r="49" ht="15" customHeight="1">
      <c r="B49" s="50"/>
    </row>
    <row r="50" ht="15" customHeight="1">
      <c r="B50" s="50"/>
    </row>
    <row r="51" ht="15" customHeight="1">
      <c r="B51" s="50"/>
    </row>
    <row r="52" ht="15" customHeight="1">
      <c r="B52" s="50"/>
    </row>
    <row r="53" ht="15" customHeight="1">
      <c r="B53" s="50"/>
    </row>
    <row r="54" ht="15" customHeight="1">
      <c r="B54" s="50"/>
    </row>
    <row r="55" ht="15" customHeight="1">
      <c r="B55" s="50"/>
    </row>
    <row r="56" ht="15" customHeight="1">
      <c r="B56" s="50"/>
    </row>
    <row r="57" ht="15" customHeight="1">
      <c r="B57" s="50"/>
    </row>
  </sheetData>
  <sheetProtection/>
  <mergeCells count="6">
    <mergeCell ref="B31:F31"/>
    <mergeCell ref="B2:F2"/>
    <mergeCell ref="B1:F1"/>
    <mergeCell ref="B3:F3"/>
    <mergeCell ref="B4:F4"/>
    <mergeCell ref="B5:F5"/>
  </mergeCells>
  <printOptions horizontalCentered="1" verticalCentered="1"/>
  <pageMargins left="0.7874015748031497" right="0.3937007874015748" top="0.3937007874015748" bottom="0.7874015748031497" header="0" footer="0"/>
  <pageSetup horizontalDpi="1800" verticalDpi="1800" orientation="portrait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B1:M77"/>
  <sheetViews>
    <sheetView zoomScalePageLayoutView="0" workbookViewId="0" topLeftCell="A1">
      <selection activeCell="D79" sqref="D79"/>
    </sheetView>
  </sheetViews>
  <sheetFormatPr defaultColWidth="21.8515625" defaultRowHeight="15" customHeight="1"/>
  <cols>
    <col min="1" max="1" width="2.7109375" style="13" customWidth="1"/>
    <col min="2" max="2" width="15.7109375" style="15" customWidth="1"/>
    <col min="3" max="11" width="15.7109375" style="13" customWidth="1"/>
    <col min="12" max="16384" width="21.8515625" style="13" customWidth="1"/>
  </cols>
  <sheetData>
    <row r="1" spans="2:12" ht="15" customHeight="1">
      <c r="B1" s="479" t="s">
        <v>28</v>
      </c>
      <c r="C1" s="479"/>
      <c r="D1" s="479"/>
      <c r="E1" s="479"/>
      <c r="F1" s="479"/>
      <c r="G1" s="479"/>
      <c r="H1" s="479"/>
      <c r="I1" s="479"/>
      <c r="J1" s="479"/>
      <c r="K1" s="479"/>
      <c r="L1" s="17"/>
    </row>
    <row r="2" spans="2:12" ht="15" customHeight="1">
      <c r="B2" s="479" t="s">
        <v>85</v>
      </c>
      <c r="C2" s="479"/>
      <c r="D2" s="479"/>
      <c r="E2" s="479"/>
      <c r="F2" s="479"/>
      <c r="G2" s="479"/>
      <c r="H2" s="479"/>
      <c r="I2" s="479"/>
      <c r="J2" s="479"/>
      <c r="K2" s="479"/>
      <c r="L2" s="17"/>
    </row>
    <row r="3" spans="2:12" ht="15" customHeight="1">
      <c r="B3" s="479" t="s">
        <v>191</v>
      </c>
      <c r="C3" s="479"/>
      <c r="D3" s="479"/>
      <c r="E3" s="479"/>
      <c r="F3" s="479"/>
      <c r="G3" s="479"/>
      <c r="H3" s="479"/>
      <c r="I3" s="479"/>
      <c r="J3" s="479"/>
      <c r="K3" s="479"/>
      <c r="L3" s="17"/>
    </row>
    <row r="4" spans="2:12" ht="15" customHeight="1" thickBot="1">
      <c r="B4" s="479" t="s">
        <v>44</v>
      </c>
      <c r="C4" s="479"/>
      <c r="D4" s="479"/>
      <c r="E4" s="479"/>
      <c r="F4" s="479"/>
      <c r="G4" s="479"/>
      <c r="H4" s="479"/>
      <c r="I4" s="479"/>
      <c r="J4" s="479"/>
      <c r="K4" s="479"/>
      <c r="L4" s="17"/>
    </row>
    <row r="5" spans="2:12" s="14" customFormat="1" ht="45" customHeight="1" thickBot="1">
      <c r="B5" s="311" t="s">
        <v>46</v>
      </c>
      <c r="C5" s="312" t="s">
        <v>86</v>
      </c>
      <c r="D5" s="313" t="s">
        <v>87</v>
      </c>
      <c r="E5" s="313" t="s">
        <v>88</v>
      </c>
      <c r="F5" s="313" t="s">
        <v>89</v>
      </c>
      <c r="G5" s="313" t="s">
        <v>90</v>
      </c>
      <c r="H5" s="313" t="s">
        <v>94</v>
      </c>
      <c r="I5" s="313" t="s">
        <v>96</v>
      </c>
      <c r="J5" s="313" t="s">
        <v>1</v>
      </c>
      <c r="K5" s="314" t="s">
        <v>0</v>
      </c>
      <c r="L5" s="39"/>
    </row>
    <row r="6" spans="2:13" ht="15" customHeight="1">
      <c r="B6" s="277">
        <v>1970</v>
      </c>
      <c r="C6" s="22">
        <f aca="true" t="shared" si="0" ref="C6:C34">SUM(D6:K6)</f>
        <v>710.3000000000001</v>
      </c>
      <c r="D6" s="23">
        <v>208.9</v>
      </c>
      <c r="E6" s="23">
        <v>222.5</v>
      </c>
      <c r="F6" s="23">
        <v>96.2</v>
      </c>
      <c r="G6" s="23">
        <v>69.5</v>
      </c>
      <c r="H6" s="23">
        <v>14</v>
      </c>
      <c r="I6" s="23">
        <v>8.7</v>
      </c>
      <c r="J6" s="23">
        <v>7</v>
      </c>
      <c r="K6" s="42">
        <v>83.5</v>
      </c>
      <c r="L6" s="17"/>
      <c r="M6" s="338"/>
    </row>
    <row r="7" spans="2:12" ht="15" customHeight="1">
      <c r="B7" s="244">
        <v>1971</v>
      </c>
      <c r="C7" s="24">
        <f t="shared" si="0"/>
        <v>775.4000000000001</v>
      </c>
      <c r="D7" s="25">
        <v>254.5</v>
      </c>
      <c r="E7" s="25">
        <v>246.1</v>
      </c>
      <c r="F7" s="25">
        <v>110.7</v>
      </c>
      <c r="G7" s="25">
        <v>79.3</v>
      </c>
      <c r="H7" s="25">
        <v>16.2</v>
      </c>
      <c r="I7" s="25">
        <v>9.4</v>
      </c>
      <c r="J7" s="25">
        <v>7.5</v>
      </c>
      <c r="K7" s="43">
        <v>51.7</v>
      </c>
      <c r="L7" s="17"/>
    </row>
    <row r="8" spans="2:12" ht="15" customHeight="1">
      <c r="B8" s="244">
        <v>1972</v>
      </c>
      <c r="C8" s="24">
        <f t="shared" si="0"/>
        <v>869.8000000000002</v>
      </c>
      <c r="D8" s="25">
        <v>300.8</v>
      </c>
      <c r="E8" s="25">
        <v>273.2</v>
      </c>
      <c r="F8" s="25">
        <v>114.7</v>
      </c>
      <c r="G8" s="25">
        <v>104.1</v>
      </c>
      <c r="H8" s="25">
        <v>18.7</v>
      </c>
      <c r="I8" s="25">
        <v>9.1</v>
      </c>
      <c r="J8" s="25">
        <v>10.1</v>
      </c>
      <c r="K8" s="43">
        <v>39.1</v>
      </c>
      <c r="L8" s="17"/>
    </row>
    <row r="9" spans="2:12" ht="15" customHeight="1">
      <c r="B9" s="244">
        <v>1973</v>
      </c>
      <c r="C9" s="24">
        <f t="shared" si="0"/>
        <v>983.9999999999999</v>
      </c>
      <c r="D9" s="25">
        <v>336.9</v>
      </c>
      <c r="E9" s="25">
        <v>307.9</v>
      </c>
      <c r="F9" s="25">
        <v>128.4</v>
      </c>
      <c r="G9" s="25">
        <v>106.9</v>
      </c>
      <c r="H9" s="25">
        <v>18.7</v>
      </c>
      <c r="I9" s="25">
        <v>8.6</v>
      </c>
      <c r="J9" s="25">
        <v>7.3</v>
      </c>
      <c r="K9" s="43">
        <v>69.3</v>
      </c>
      <c r="L9" s="17"/>
    </row>
    <row r="10" spans="2:12" ht="15" customHeight="1">
      <c r="B10" s="244">
        <v>1974</v>
      </c>
      <c r="C10" s="24">
        <f t="shared" si="0"/>
        <v>980.7</v>
      </c>
      <c r="D10" s="25">
        <v>343.1</v>
      </c>
      <c r="E10" s="25">
        <v>340.8</v>
      </c>
      <c r="F10" s="25">
        <v>124.9</v>
      </c>
      <c r="G10" s="25">
        <v>120</v>
      </c>
      <c r="H10" s="25">
        <v>19</v>
      </c>
      <c r="I10" s="25">
        <v>3.5</v>
      </c>
      <c r="J10" s="25">
        <v>11</v>
      </c>
      <c r="K10" s="43">
        <v>18.4</v>
      </c>
      <c r="L10" s="17"/>
    </row>
    <row r="11" spans="2:12" ht="15" customHeight="1">
      <c r="B11" s="244">
        <v>1975</v>
      </c>
      <c r="C11" s="24">
        <f t="shared" si="0"/>
        <v>1041.0000000000002</v>
      </c>
      <c r="D11" s="25">
        <v>361.4</v>
      </c>
      <c r="E11" s="25">
        <v>351.8</v>
      </c>
      <c r="F11" s="25">
        <v>132.7</v>
      </c>
      <c r="G11" s="25">
        <v>142.1</v>
      </c>
      <c r="H11" s="25">
        <v>19.9</v>
      </c>
      <c r="I11" s="25">
        <v>4.1</v>
      </c>
      <c r="J11" s="25">
        <v>14.3</v>
      </c>
      <c r="K11" s="43">
        <v>14.7</v>
      </c>
      <c r="L11" s="17"/>
    </row>
    <row r="12" spans="2:12" ht="15" customHeight="1">
      <c r="B12" s="244">
        <v>1976</v>
      </c>
      <c r="C12" s="24">
        <f t="shared" si="0"/>
        <v>1143.0999999999997</v>
      </c>
      <c r="D12" s="25">
        <v>393.4</v>
      </c>
      <c r="E12" s="25">
        <v>364.2</v>
      </c>
      <c r="F12" s="25">
        <v>129.1</v>
      </c>
      <c r="G12" s="25">
        <v>177.8</v>
      </c>
      <c r="H12" s="25">
        <v>20.8</v>
      </c>
      <c r="I12" s="25">
        <v>4.6</v>
      </c>
      <c r="J12" s="25">
        <v>14.6</v>
      </c>
      <c r="K12" s="43">
        <v>38.6</v>
      </c>
      <c r="L12" s="17"/>
    </row>
    <row r="13" spans="2:12" ht="15" customHeight="1">
      <c r="B13" s="244">
        <v>1977</v>
      </c>
      <c r="C13" s="24">
        <f t="shared" si="0"/>
        <v>1260.1000000000001</v>
      </c>
      <c r="D13" s="25">
        <v>402.5</v>
      </c>
      <c r="E13" s="25">
        <v>396.6</v>
      </c>
      <c r="F13" s="25">
        <v>127.9</v>
      </c>
      <c r="G13" s="25">
        <v>196.5</v>
      </c>
      <c r="H13" s="25">
        <v>22.9</v>
      </c>
      <c r="I13" s="25">
        <v>5.2</v>
      </c>
      <c r="J13" s="25">
        <v>14.7</v>
      </c>
      <c r="K13" s="43">
        <v>93.8</v>
      </c>
      <c r="L13" s="17"/>
    </row>
    <row r="14" spans="2:12" ht="15" customHeight="1">
      <c r="B14" s="244">
        <v>1978</v>
      </c>
      <c r="C14" s="24">
        <f t="shared" si="0"/>
        <v>1268.1999999999998</v>
      </c>
      <c r="D14" s="25">
        <v>413.1</v>
      </c>
      <c r="E14" s="25">
        <v>419.1</v>
      </c>
      <c r="F14" s="25">
        <v>142.5</v>
      </c>
      <c r="G14" s="25">
        <v>223.5</v>
      </c>
      <c r="H14" s="25">
        <v>23.8</v>
      </c>
      <c r="I14" s="25">
        <v>7.5</v>
      </c>
      <c r="J14" s="25">
        <v>15.6</v>
      </c>
      <c r="K14" s="43">
        <v>23.1</v>
      </c>
      <c r="L14" s="17"/>
    </row>
    <row r="15" spans="2:12" ht="15" customHeight="1">
      <c r="B15" s="244">
        <v>1979</v>
      </c>
      <c r="C15" s="24">
        <f t="shared" si="0"/>
        <v>1480.9</v>
      </c>
      <c r="D15" s="25">
        <v>444.7</v>
      </c>
      <c r="E15" s="25">
        <v>445</v>
      </c>
      <c r="F15" s="25">
        <v>161.8</v>
      </c>
      <c r="G15" s="25">
        <v>250.2</v>
      </c>
      <c r="H15" s="25">
        <v>25.8</v>
      </c>
      <c r="I15" s="25">
        <v>9.4</v>
      </c>
      <c r="J15" s="25">
        <v>16</v>
      </c>
      <c r="K15" s="43">
        <v>128</v>
      </c>
      <c r="L15" s="17"/>
    </row>
    <row r="16" spans="2:12" ht="15" customHeight="1">
      <c r="B16" s="244">
        <v>1980</v>
      </c>
      <c r="C16" s="24">
        <f t="shared" si="0"/>
        <v>1472.3000000000002</v>
      </c>
      <c r="D16" s="25">
        <v>457</v>
      </c>
      <c r="E16" s="25">
        <v>479.2</v>
      </c>
      <c r="F16" s="25">
        <v>184.4</v>
      </c>
      <c r="G16" s="25">
        <v>281.2</v>
      </c>
      <c r="H16" s="25">
        <v>31</v>
      </c>
      <c r="I16" s="25">
        <v>9.6</v>
      </c>
      <c r="J16" s="25">
        <v>13.9</v>
      </c>
      <c r="K16" s="43">
        <v>16</v>
      </c>
      <c r="L16" s="17"/>
    </row>
    <row r="17" spans="2:12" ht="15" customHeight="1">
      <c r="B17" s="244">
        <v>1981</v>
      </c>
      <c r="C17" s="24">
        <f t="shared" si="0"/>
        <v>1554.3</v>
      </c>
      <c r="D17" s="25">
        <v>474.6</v>
      </c>
      <c r="E17" s="25">
        <v>498</v>
      </c>
      <c r="F17" s="25">
        <v>188.4</v>
      </c>
      <c r="G17" s="25">
        <v>287.4</v>
      </c>
      <c r="H17" s="25">
        <v>32.8</v>
      </c>
      <c r="I17" s="25">
        <v>10.8</v>
      </c>
      <c r="J17" s="25">
        <v>15.8</v>
      </c>
      <c r="K17" s="43">
        <v>46.5</v>
      </c>
      <c r="L17" s="17"/>
    </row>
    <row r="18" spans="2:12" ht="15" customHeight="1">
      <c r="B18" s="244">
        <v>1982</v>
      </c>
      <c r="C18" s="24">
        <f t="shared" si="0"/>
        <v>1674.8</v>
      </c>
      <c r="D18" s="25">
        <v>499</v>
      </c>
      <c r="E18" s="25">
        <v>532</v>
      </c>
      <c r="F18" s="25">
        <v>218</v>
      </c>
      <c r="G18" s="25">
        <v>311.3</v>
      </c>
      <c r="H18" s="25">
        <v>34.7</v>
      </c>
      <c r="I18" s="25">
        <v>12.3</v>
      </c>
      <c r="J18" s="25">
        <v>16.1</v>
      </c>
      <c r="K18" s="43">
        <v>51.4</v>
      </c>
      <c r="L18" s="17"/>
    </row>
    <row r="19" spans="2:12" ht="15" customHeight="1">
      <c r="B19" s="244">
        <v>1983</v>
      </c>
      <c r="C19" s="24">
        <f t="shared" si="0"/>
        <v>1850.6</v>
      </c>
      <c r="D19" s="25">
        <v>527.9</v>
      </c>
      <c r="E19" s="25">
        <v>567.9</v>
      </c>
      <c r="F19" s="25">
        <v>218.8</v>
      </c>
      <c r="G19" s="25">
        <v>337.2</v>
      </c>
      <c r="H19" s="25">
        <v>36.8</v>
      </c>
      <c r="I19" s="25">
        <v>12.7</v>
      </c>
      <c r="J19" s="25">
        <v>16.5</v>
      </c>
      <c r="K19" s="43">
        <v>132.8</v>
      </c>
      <c r="L19" s="17"/>
    </row>
    <row r="20" spans="2:12" ht="15" customHeight="1">
      <c r="B20" s="244">
        <v>1984</v>
      </c>
      <c r="C20" s="24">
        <f t="shared" si="0"/>
        <v>1816.5000000000002</v>
      </c>
      <c r="D20" s="25">
        <v>521.5</v>
      </c>
      <c r="E20" s="25">
        <v>574.4</v>
      </c>
      <c r="F20" s="25">
        <v>228.7</v>
      </c>
      <c r="G20" s="25">
        <v>326.6</v>
      </c>
      <c r="H20" s="25">
        <v>37.1</v>
      </c>
      <c r="I20" s="25">
        <v>12.4</v>
      </c>
      <c r="J20" s="25">
        <v>17</v>
      </c>
      <c r="K20" s="43">
        <v>98.8</v>
      </c>
      <c r="L20" s="17"/>
    </row>
    <row r="21" spans="2:12" ht="15" customHeight="1">
      <c r="B21" s="244">
        <v>1985</v>
      </c>
      <c r="C21" s="24">
        <f t="shared" si="0"/>
        <v>1944.1000000000004</v>
      </c>
      <c r="D21" s="25">
        <v>559.6</v>
      </c>
      <c r="E21" s="25">
        <v>609.8</v>
      </c>
      <c r="F21" s="25">
        <v>252.4</v>
      </c>
      <c r="G21" s="25">
        <v>350</v>
      </c>
      <c r="H21" s="25">
        <v>37.7</v>
      </c>
      <c r="I21" s="25">
        <v>12.7</v>
      </c>
      <c r="J21" s="25">
        <v>17</v>
      </c>
      <c r="K21" s="43">
        <v>104.9</v>
      </c>
      <c r="L21" s="17"/>
    </row>
    <row r="22" spans="2:12" ht="15" customHeight="1">
      <c r="B22" s="244">
        <v>1986</v>
      </c>
      <c r="C22" s="24">
        <f t="shared" si="0"/>
        <v>2045.0999999999997</v>
      </c>
      <c r="D22" s="25">
        <v>606.9</v>
      </c>
      <c r="E22" s="25">
        <v>647.7</v>
      </c>
      <c r="F22" s="25">
        <v>267.6</v>
      </c>
      <c r="G22" s="25">
        <v>362.6</v>
      </c>
      <c r="H22" s="25">
        <v>39.3</v>
      </c>
      <c r="I22" s="25">
        <v>12.9</v>
      </c>
      <c r="J22" s="25">
        <v>16.3</v>
      </c>
      <c r="K22" s="43">
        <v>91.8</v>
      </c>
      <c r="L22" s="17"/>
    </row>
    <row r="23" spans="2:12" ht="15" customHeight="1">
      <c r="B23" s="244">
        <v>1987</v>
      </c>
      <c r="C23" s="24">
        <f t="shared" si="0"/>
        <v>2191.1</v>
      </c>
      <c r="D23" s="25">
        <v>662.7</v>
      </c>
      <c r="E23" s="25">
        <v>678.4</v>
      </c>
      <c r="F23" s="25">
        <v>305.5</v>
      </c>
      <c r="G23" s="25">
        <v>380.1</v>
      </c>
      <c r="H23" s="25">
        <v>41.2</v>
      </c>
      <c r="I23" s="25">
        <v>13.3</v>
      </c>
      <c r="J23" s="25">
        <v>18.9</v>
      </c>
      <c r="K23" s="43">
        <v>91</v>
      </c>
      <c r="L23" s="17"/>
    </row>
    <row r="24" spans="2:12" ht="15" customHeight="1">
      <c r="B24" s="244">
        <v>1988</v>
      </c>
      <c r="C24" s="24">
        <f t="shared" si="0"/>
        <v>2063.1</v>
      </c>
      <c r="D24" s="25">
        <v>655.1</v>
      </c>
      <c r="E24" s="25">
        <v>605.5</v>
      </c>
      <c r="F24" s="25">
        <v>246.7</v>
      </c>
      <c r="G24" s="25">
        <v>363.8</v>
      </c>
      <c r="H24" s="25">
        <v>42.3</v>
      </c>
      <c r="I24" s="25">
        <v>12.9</v>
      </c>
      <c r="J24" s="25">
        <v>20</v>
      </c>
      <c r="K24" s="43">
        <v>116.8</v>
      </c>
      <c r="L24" s="17"/>
    </row>
    <row r="25" spans="2:12" ht="15" customHeight="1">
      <c r="B25" s="244">
        <v>1989</v>
      </c>
      <c r="C25" s="24">
        <f t="shared" si="0"/>
        <v>1983.6000000000004</v>
      </c>
      <c r="D25" s="25">
        <v>613.6</v>
      </c>
      <c r="E25" s="25">
        <v>610.7</v>
      </c>
      <c r="F25" s="25">
        <v>254.9</v>
      </c>
      <c r="G25" s="25">
        <v>356.7</v>
      </c>
      <c r="H25" s="25">
        <v>43</v>
      </c>
      <c r="I25" s="25">
        <v>12.8</v>
      </c>
      <c r="J25" s="25">
        <v>20.9</v>
      </c>
      <c r="K25" s="43">
        <v>71</v>
      </c>
      <c r="L25" s="17"/>
    </row>
    <row r="26" spans="2:12" ht="15" customHeight="1">
      <c r="B26" s="244">
        <v>1990</v>
      </c>
      <c r="C26" s="24">
        <f t="shared" si="0"/>
        <v>2053</v>
      </c>
      <c r="D26" s="25">
        <v>637.3</v>
      </c>
      <c r="E26" s="25">
        <v>633.6</v>
      </c>
      <c r="F26" s="25">
        <v>276.5</v>
      </c>
      <c r="G26" s="25">
        <v>354.7</v>
      </c>
      <c r="H26" s="25">
        <v>44.1</v>
      </c>
      <c r="I26" s="25">
        <v>12.4</v>
      </c>
      <c r="J26" s="25">
        <v>22.2</v>
      </c>
      <c r="K26" s="43">
        <v>72.2</v>
      </c>
      <c r="L26" s="17"/>
    </row>
    <row r="27" spans="2:12" ht="15" customHeight="1">
      <c r="B27" s="244">
        <v>1991</v>
      </c>
      <c r="C27" s="24">
        <f t="shared" si="0"/>
        <v>2185.8999999999996</v>
      </c>
      <c r="D27" s="25">
        <v>673.4</v>
      </c>
      <c r="E27" s="25">
        <v>703.1</v>
      </c>
      <c r="F27" s="25">
        <v>321.1</v>
      </c>
      <c r="G27" s="25">
        <v>349.6</v>
      </c>
      <c r="H27" s="25">
        <v>45.1</v>
      </c>
      <c r="I27" s="25">
        <v>12.5</v>
      </c>
      <c r="J27" s="25">
        <v>22.1</v>
      </c>
      <c r="K27" s="43">
        <v>59</v>
      </c>
      <c r="L27" s="17"/>
    </row>
    <row r="28" spans="2:12" ht="15" customHeight="1">
      <c r="B28" s="244">
        <v>1992</v>
      </c>
      <c r="C28" s="24">
        <f t="shared" si="0"/>
        <v>2311.4</v>
      </c>
      <c r="D28" s="25">
        <v>716.3</v>
      </c>
      <c r="E28" s="25">
        <v>754.1</v>
      </c>
      <c r="F28" s="25">
        <v>366.2</v>
      </c>
      <c r="G28" s="25">
        <v>367.8</v>
      </c>
      <c r="H28" s="25">
        <v>45.5</v>
      </c>
      <c r="I28" s="25">
        <v>13.1</v>
      </c>
      <c r="J28" s="25">
        <v>21.6</v>
      </c>
      <c r="K28" s="43">
        <v>26.8</v>
      </c>
      <c r="L28" s="17"/>
    </row>
    <row r="29" spans="2:12" ht="15" customHeight="1">
      <c r="B29" s="244">
        <v>1993</v>
      </c>
      <c r="C29" s="24">
        <f t="shared" si="0"/>
        <v>2486.1730000000002</v>
      </c>
      <c r="D29" s="25">
        <v>749.8</v>
      </c>
      <c r="E29" s="25">
        <f>839.5+0.073</f>
        <v>839.573</v>
      </c>
      <c r="F29" s="25">
        <v>409.9</v>
      </c>
      <c r="G29" s="25">
        <v>392.8</v>
      </c>
      <c r="H29" s="25">
        <v>44.7</v>
      </c>
      <c r="I29" s="25">
        <v>13.3</v>
      </c>
      <c r="J29" s="25">
        <v>20.5</v>
      </c>
      <c r="K29" s="43">
        <v>15.6</v>
      </c>
      <c r="L29" s="17"/>
    </row>
    <row r="30" spans="2:12" ht="15" customHeight="1">
      <c r="B30" s="244">
        <v>1994</v>
      </c>
      <c r="C30" s="24">
        <f t="shared" si="0"/>
        <v>2671.8549999999996</v>
      </c>
      <c r="D30" s="25">
        <v>788.5</v>
      </c>
      <c r="E30" s="25">
        <f>912.8+0.275</f>
        <v>913.0749999999999</v>
      </c>
      <c r="F30" s="25">
        <v>429.7</v>
      </c>
      <c r="G30" s="25">
        <f>8.08+289.5+118.6</f>
        <v>416.17999999999995</v>
      </c>
      <c r="H30" s="25">
        <v>44.5</v>
      </c>
      <c r="I30" s="25">
        <v>13.7</v>
      </c>
      <c r="J30" s="25">
        <v>19.8</v>
      </c>
      <c r="K30" s="43">
        <v>46.4</v>
      </c>
      <c r="L30" s="17"/>
    </row>
    <row r="31" spans="2:11" ht="15" customHeight="1">
      <c r="B31" s="244">
        <v>1995</v>
      </c>
      <c r="C31" s="24">
        <f t="shared" si="0"/>
        <v>2869.593</v>
      </c>
      <c r="D31" s="25">
        <v>848.2</v>
      </c>
      <c r="E31" s="25">
        <v>1000.9</v>
      </c>
      <c r="F31" s="25">
        <v>459.2</v>
      </c>
      <c r="G31" s="25">
        <f>9.7+320.1+133.2</f>
        <v>463</v>
      </c>
      <c r="H31" s="25">
        <v>52.527</v>
      </c>
      <c r="I31" s="25">
        <v>14.562</v>
      </c>
      <c r="J31" s="25">
        <v>18.404</v>
      </c>
      <c r="K31" s="43">
        <v>12.8</v>
      </c>
    </row>
    <row r="32" spans="2:11" ht="15" customHeight="1">
      <c r="B32" s="244">
        <v>1996</v>
      </c>
      <c r="C32" s="24">
        <f>SUM(D32:K32)</f>
        <v>2984.014</v>
      </c>
      <c r="D32" s="25">
        <v>863.154</v>
      </c>
      <c r="E32" s="25">
        <f>1041.738+0.165</f>
        <v>1041.903</v>
      </c>
      <c r="F32" s="25">
        <v>467.329</v>
      </c>
      <c r="G32" s="25">
        <f>10.11+339.918+140.33</f>
        <v>490.35800000000006</v>
      </c>
      <c r="H32" s="25">
        <v>60.243</v>
      </c>
      <c r="I32" s="25">
        <v>14.857</v>
      </c>
      <c r="J32" s="25">
        <v>18.219</v>
      </c>
      <c r="K32" s="43">
        <f>46.17-18.219</f>
        <v>27.951</v>
      </c>
    </row>
    <row r="33" spans="2:11" ht="15" customHeight="1">
      <c r="B33" s="244">
        <v>1997</v>
      </c>
      <c r="C33" s="24">
        <f t="shared" si="0"/>
        <v>3302.0570000000002</v>
      </c>
      <c r="D33" s="25">
        <v>937.4</v>
      </c>
      <c r="E33" s="25">
        <f>1181.5+0.15</f>
        <v>1181.65</v>
      </c>
      <c r="F33" s="25">
        <v>471.52</v>
      </c>
      <c r="G33" s="25">
        <f>10.54+342.42+155.13</f>
        <v>508.09000000000003</v>
      </c>
      <c r="H33" s="25">
        <v>62.832</v>
      </c>
      <c r="I33" s="25">
        <v>23.45</v>
      </c>
      <c r="J33" s="25">
        <v>17.215</v>
      </c>
      <c r="K33" s="43">
        <v>99.9</v>
      </c>
    </row>
    <row r="34" spans="2:11" ht="15" customHeight="1">
      <c r="B34" s="244">
        <v>1998</v>
      </c>
      <c r="C34" s="24">
        <f t="shared" si="0"/>
        <v>3392.3239999999996</v>
      </c>
      <c r="D34" s="25">
        <v>1004.575</v>
      </c>
      <c r="E34" s="25">
        <v>1342.042</v>
      </c>
      <c r="F34" s="25">
        <v>487.6</v>
      </c>
      <c r="G34" s="25">
        <f>10.983+309.253+156.734</f>
        <v>476.97</v>
      </c>
      <c r="H34" s="25">
        <v>64.437</v>
      </c>
      <c r="I34" s="25">
        <v>16.7</v>
      </c>
      <c r="J34" s="25">
        <v>0</v>
      </c>
      <c r="K34" s="43">
        <v>0</v>
      </c>
    </row>
    <row r="35" spans="2:11" ht="15" customHeight="1">
      <c r="B35" s="244">
        <v>1999</v>
      </c>
      <c r="C35" s="24">
        <f aca="true" t="shared" si="1" ref="C35:C40">SUM(D35:K35)</f>
        <v>3578</v>
      </c>
      <c r="D35" s="25">
        <v>1041.9</v>
      </c>
      <c r="E35" s="25">
        <v>1449</v>
      </c>
      <c r="F35" s="25">
        <v>524.3</v>
      </c>
      <c r="G35" s="25">
        <v>488.3</v>
      </c>
      <c r="H35" s="25">
        <v>65.1</v>
      </c>
      <c r="I35" s="25">
        <v>9.4</v>
      </c>
      <c r="J35" s="25">
        <v>0</v>
      </c>
      <c r="K35" s="43">
        <v>0</v>
      </c>
    </row>
    <row r="36" spans="2:11" ht="15" customHeight="1">
      <c r="B36" s="244">
        <v>2000</v>
      </c>
      <c r="C36" s="24">
        <f t="shared" si="1"/>
        <v>3801.1000000000004</v>
      </c>
      <c r="D36" s="25">
        <v>1118.1</v>
      </c>
      <c r="E36" s="25">
        <v>1569.2</v>
      </c>
      <c r="F36" s="25">
        <v>506.4</v>
      </c>
      <c r="G36" s="25">
        <v>542.7</v>
      </c>
      <c r="H36" s="12">
        <v>54.9</v>
      </c>
      <c r="I36" s="25">
        <v>9.6</v>
      </c>
      <c r="J36" s="25">
        <v>0.2</v>
      </c>
      <c r="K36" s="43">
        <v>0</v>
      </c>
    </row>
    <row r="37" spans="2:11" ht="15" customHeight="1">
      <c r="B37" s="315">
        <v>2001</v>
      </c>
      <c r="C37" s="168">
        <f t="shared" si="1"/>
        <v>3933.8999999999996</v>
      </c>
      <c r="D37" s="169">
        <v>1161.3</v>
      </c>
      <c r="E37" s="169">
        <v>1619</v>
      </c>
      <c r="F37" s="169">
        <v>430.4</v>
      </c>
      <c r="G37" s="169">
        <v>577.9</v>
      </c>
      <c r="H37" s="170">
        <v>81.2</v>
      </c>
      <c r="I37" s="169">
        <v>10.7</v>
      </c>
      <c r="J37" s="169">
        <v>3.2</v>
      </c>
      <c r="K37" s="171">
        <v>50.2</v>
      </c>
    </row>
    <row r="38" spans="2:11" ht="15" customHeight="1">
      <c r="B38" s="244">
        <v>2002</v>
      </c>
      <c r="C38" s="24">
        <f t="shared" si="1"/>
        <v>4112.999999999999</v>
      </c>
      <c r="D38" s="25">
        <v>1261</v>
      </c>
      <c r="E38" s="25">
        <v>1733.6</v>
      </c>
      <c r="F38" s="25">
        <v>367.7</v>
      </c>
      <c r="G38" s="25">
        <v>581.3</v>
      </c>
      <c r="H38" s="12">
        <v>79.2</v>
      </c>
      <c r="I38" s="25">
        <v>9</v>
      </c>
      <c r="J38" s="25">
        <v>10.3</v>
      </c>
      <c r="K38" s="43">
        <v>70.9</v>
      </c>
    </row>
    <row r="39" spans="2:11" ht="15" customHeight="1">
      <c r="B39" s="244">
        <v>2003</v>
      </c>
      <c r="C39" s="24">
        <f t="shared" si="1"/>
        <v>4306.9</v>
      </c>
      <c r="D39" s="25">
        <v>1341.2</v>
      </c>
      <c r="E39" s="25">
        <v>1947.9</v>
      </c>
      <c r="F39" s="25">
        <v>247.3</v>
      </c>
      <c r="G39" s="25">
        <v>589.9</v>
      </c>
      <c r="H39" s="12">
        <v>94.9</v>
      </c>
      <c r="I39" s="25">
        <v>8.6</v>
      </c>
      <c r="J39" s="25">
        <v>2.7</v>
      </c>
      <c r="K39" s="43">
        <v>74.4</v>
      </c>
    </row>
    <row r="40" spans="2:11" ht="15" customHeight="1">
      <c r="B40" s="315">
        <v>2004</v>
      </c>
      <c r="C40" s="168">
        <f t="shared" si="1"/>
        <v>4595.2</v>
      </c>
      <c r="D40" s="169">
        <v>1437.7</v>
      </c>
      <c r="E40" s="169">
        <v>2065.2</v>
      </c>
      <c r="F40" s="169">
        <v>237.8</v>
      </c>
      <c r="G40" s="169">
        <v>635.8</v>
      </c>
      <c r="H40" s="170">
        <v>106.8</v>
      </c>
      <c r="I40" s="169">
        <v>5</v>
      </c>
      <c r="J40" s="169">
        <v>7.7</v>
      </c>
      <c r="K40" s="171">
        <v>99.2</v>
      </c>
    </row>
    <row r="41" spans="2:13" ht="15" customHeight="1">
      <c r="B41" s="244">
        <v>2005</v>
      </c>
      <c r="C41" s="24">
        <f>SUM(D41:K41)</f>
        <v>4780.799999999998</v>
      </c>
      <c r="D41" s="25">
        <v>1495.8</v>
      </c>
      <c r="E41" s="25">
        <v>2176.6</v>
      </c>
      <c r="F41" s="25">
        <v>258</v>
      </c>
      <c r="G41" s="25">
        <v>640.9</v>
      </c>
      <c r="H41" s="12">
        <v>110.2</v>
      </c>
      <c r="I41" s="25">
        <v>4.9</v>
      </c>
      <c r="J41" s="25">
        <v>7.5</v>
      </c>
      <c r="K41" s="43">
        <v>86.9</v>
      </c>
      <c r="L41" s="338"/>
      <c r="M41" s="338"/>
    </row>
    <row r="42" spans="2:12" ht="15" customHeight="1">
      <c r="B42" s="244">
        <v>2006</v>
      </c>
      <c r="C42" s="24">
        <f>SUM(D42:K42)</f>
        <v>4934</v>
      </c>
      <c r="D42" s="25">
        <v>1534.2</v>
      </c>
      <c r="E42" s="25">
        <v>2119.4</v>
      </c>
      <c r="F42" s="25">
        <v>456.4</v>
      </c>
      <c r="G42" s="25">
        <v>655</v>
      </c>
      <c r="H42" s="12">
        <v>116.5</v>
      </c>
      <c r="I42" s="12" t="s">
        <v>140</v>
      </c>
      <c r="J42" s="25">
        <v>3.7</v>
      </c>
      <c r="K42" s="43">
        <v>48.8</v>
      </c>
      <c r="L42" s="338"/>
    </row>
    <row r="43" spans="2:12" ht="15" customHeight="1">
      <c r="B43" s="244">
        <v>2007</v>
      </c>
      <c r="C43" s="24">
        <f>SUM(D43:K43)</f>
        <v>5297.9</v>
      </c>
      <c r="D43" s="25">
        <v>1628.5</v>
      </c>
      <c r="E43" s="25">
        <v>2326.5</v>
      </c>
      <c r="F43" s="25">
        <v>470.9</v>
      </c>
      <c r="G43" s="25">
        <v>696.8</v>
      </c>
      <c r="H43" s="12">
        <v>120</v>
      </c>
      <c r="I43" s="12" t="s">
        <v>140</v>
      </c>
      <c r="J43" s="25">
        <v>3.7</v>
      </c>
      <c r="K43" s="43">
        <v>51.5</v>
      </c>
      <c r="L43" s="338"/>
    </row>
    <row r="44" spans="2:12" ht="15" customHeight="1">
      <c r="B44" s="315">
        <v>2008</v>
      </c>
      <c r="C44" s="168">
        <f>SUM(D44:K44)</f>
        <v>5462.100000000001</v>
      </c>
      <c r="D44" s="169">
        <v>1647.2</v>
      </c>
      <c r="E44" s="169">
        <v>2453.2</v>
      </c>
      <c r="F44" s="169">
        <v>469.6</v>
      </c>
      <c r="G44" s="169">
        <v>696.1</v>
      </c>
      <c r="H44" s="170">
        <v>125.1</v>
      </c>
      <c r="I44" s="170">
        <v>7.1</v>
      </c>
      <c r="J44" s="169">
        <v>9.6</v>
      </c>
      <c r="K44" s="171">
        <v>54.2</v>
      </c>
      <c r="L44" s="338"/>
    </row>
    <row r="45" spans="2:12" ht="15" customHeight="1">
      <c r="B45" s="244">
        <v>2009</v>
      </c>
      <c r="C45" s="24">
        <f>SUM(D45:K45)</f>
        <v>5737.999999999999</v>
      </c>
      <c r="D45" s="25">
        <v>1801.9</v>
      </c>
      <c r="E45" s="25">
        <v>2462</v>
      </c>
      <c r="F45" s="25">
        <v>525.2</v>
      </c>
      <c r="G45" s="25">
        <v>732.2</v>
      </c>
      <c r="H45" s="12">
        <v>128.5</v>
      </c>
      <c r="I45" s="12">
        <v>4.8</v>
      </c>
      <c r="J45" s="25">
        <v>2.9</v>
      </c>
      <c r="K45" s="43">
        <v>80.5</v>
      </c>
      <c r="L45" s="338"/>
    </row>
    <row r="46" spans="2:12" ht="15" customHeight="1">
      <c r="B46" s="244">
        <v>2010</v>
      </c>
      <c r="C46" s="24">
        <f aca="true" t="shared" si="2" ref="C46:C53">SUM(D46:K46)</f>
        <v>6232.5</v>
      </c>
      <c r="D46" s="25">
        <v>1974</v>
      </c>
      <c r="E46" s="25">
        <v>2606.6</v>
      </c>
      <c r="F46" s="25">
        <v>470.8</v>
      </c>
      <c r="G46" s="25">
        <v>750.4</v>
      </c>
      <c r="H46" s="12">
        <v>131.7</v>
      </c>
      <c r="I46" s="12">
        <v>4.6</v>
      </c>
      <c r="J46" s="25">
        <v>2.7</v>
      </c>
      <c r="K46" s="43">
        <v>291.7</v>
      </c>
      <c r="L46" s="338"/>
    </row>
    <row r="47" spans="2:12" ht="15" customHeight="1">
      <c r="B47" s="244">
        <v>2011</v>
      </c>
      <c r="C47" s="24">
        <f t="shared" si="2"/>
        <v>6599.800000000001</v>
      </c>
      <c r="D47" s="25">
        <v>2084.1</v>
      </c>
      <c r="E47" s="25">
        <v>2797</v>
      </c>
      <c r="F47" s="25">
        <v>469.8</v>
      </c>
      <c r="G47" s="25">
        <v>768.6</v>
      </c>
      <c r="H47" s="12">
        <v>136.1</v>
      </c>
      <c r="I47" s="12">
        <v>4.7</v>
      </c>
      <c r="J47" s="25">
        <v>2.7</v>
      </c>
      <c r="K47" s="43">
        <v>336.8</v>
      </c>
      <c r="L47" s="338"/>
    </row>
    <row r="48" spans="2:12" ht="15" customHeight="1">
      <c r="B48" s="244">
        <v>2012</v>
      </c>
      <c r="C48" s="24">
        <f t="shared" si="2"/>
        <v>7170.299999999999</v>
      </c>
      <c r="D48" s="25">
        <v>2248</v>
      </c>
      <c r="E48" s="25">
        <v>3092.1</v>
      </c>
      <c r="F48" s="25">
        <v>477.9</v>
      </c>
      <c r="G48" s="25">
        <v>822.4</v>
      </c>
      <c r="H48" s="12">
        <v>146.9</v>
      </c>
      <c r="I48" s="12">
        <v>5.1</v>
      </c>
      <c r="J48" s="25">
        <v>2.7</v>
      </c>
      <c r="K48" s="43">
        <v>375.2</v>
      </c>
      <c r="L48" s="338"/>
    </row>
    <row r="49" spans="2:12" ht="15" customHeight="1">
      <c r="B49" s="244">
        <v>2013</v>
      </c>
      <c r="C49" s="24">
        <f t="shared" si="2"/>
        <v>7501.700000000002</v>
      </c>
      <c r="D49" s="25">
        <v>2380</v>
      </c>
      <c r="E49" s="25">
        <v>3236.6</v>
      </c>
      <c r="F49" s="25">
        <v>480.6</v>
      </c>
      <c r="G49" s="25">
        <v>830</v>
      </c>
      <c r="H49" s="12">
        <v>164.3</v>
      </c>
      <c r="I49" s="12">
        <v>5.1</v>
      </c>
      <c r="J49" s="25">
        <v>2.8</v>
      </c>
      <c r="K49" s="43">
        <v>402.3</v>
      </c>
      <c r="L49" s="338"/>
    </row>
    <row r="50" spans="2:12" ht="15" customHeight="1">
      <c r="B50" s="244">
        <v>2014</v>
      </c>
      <c r="C50" s="24">
        <f t="shared" si="2"/>
        <v>7822.5</v>
      </c>
      <c r="D50" s="25">
        <v>2528.3</v>
      </c>
      <c r="E50" s="25">
        <v>3372.2</v>
      </c>
      <c r="F50" s="25">
        <v>465.2</v>
      </c>
      <c r="G50" s="25">
        <v>858.4</v>
      </c>
      <c r="H50" s="12">
        <v>169.5</v>
      </c>
      <c r="I50" s="12">
        <v>5</v>
      </c>
      <c r="J50" s="25">
        <v>2.8</v>
      </c>
      <c r="K50" s="43">
        <v>421.1</v>
      </c>
      <c r="L50" s="338"/>
    </row>
    <row r="51" spans="2:12" ht="15" customHeight="1">
      <c r="B51" s="315">
        <v>2015</v>
      </c>
      <c r="C51" s="168">
        <f t="shared" si="2"/>
        <v>8368.599999999999</v>
      </c>
      <c r="D51" s="169">
        <v>2714.9</v>
      </c>
      <c r="E51" s="169">
        <v>3704.1</v>
      </c>
      <c r="F51" s="169">
        <v>459.2</v>
      </c>
      <c r="G51" s="169">
        <v>950.2</v>
      </c>
      <c r="H51" s="170">
        <v>180.7</v>
      </c>
      <c r="I51" s="170">
        <v>5.4</v>
      </c>
      <c r="J51" s="169">
        <v>2.9</v>
      </c>
      <c r="K51" s="171">
        <v>351.2</v>
      </c>
      <c r="L51" s="338"/>
    </row>
    <row r="52" spans="2:12" ht="15" customHeight="1">
      <c r="B52" s="244">
        <v>2016</v>
      </c>
      <c r="C52" s="24">
        <f t="shared" si="2"/>
        <v>8588.499999999998</v>
      </c>
      <c r="D52" s="25">
        <v>2795.1</v>
      </c>
      <c r="E52" s="25">
        <v>3876.3</v>
      </c>
      <c r="F52" s="25">
        <v>449.7</v>
      </c>
      <c r="G52" s="25">
        <v>994.4</v>
      </c>
      <c r="H52" s="12">
        <v>193.9</v>
      </c>
      <c r="I52" s="12">
        <v>5.5</v>
      </c>
      <c r="J52" s="25">
        <v>3.3</v>
      </c>
      <c r="K52" s="43">
        <v>270.3</v>
      </c>
      <c r="L52" s="338"/>
    </row>
    <row r="53" spans="2:13" ht="15" customHeight="1">
      <c r="B53" s="244">
        <v>2017</v>
      </c>
      <c r="C53" s="24">
        <f t="shared" si="2"/>
        <v>8896.999999999998</v>
      </c>
      <c r="D53" s="25">
        <v>2878.9</v>
      </c>
      <c r="E53" s="25">
        <v>3962.6</v>
      </c>
      <c r="F53" s="25">
        <v>407.3</v>
      </c>
      <c r="G53" s="25">
        <v>1009.2</v>
      </c>
      <c r="H53" s="12">
        <v>207.3</v>
      </c>
      <c r="I53" s="12">
        <v>5.3</v>
      </c>
      <c r="J53" s="25">
        <v>4</v>
      </c>
      <c r="K53" s="43">
        <v>422.4</v>
      </c>
      <c r="L53" s="338"/>
      <c r="M53" s="208"/>
    </row>
    <row r="54" spans="2:13" ht="15" customHeight="1">
      <c r="B54" s="244">
        <v>2018</v>
      </c>
      <c r="C54" s="24">
        <f>SUM(D54:K54)</f>
        <v>9098.9</v>
      </c>
      <c r="D54" s="25">
        <v>2907.1</v>
      </c>
      <c r="E54" s="25">
        <v>3947.6</v>
      </c>
      <c r="F54" s="25">
        <v>321.4</v>
      </c>
      <c r="G54" s="25">
        <v>1025.6</v>
      </c>
      <c r="H54" s="12">
        <v>217.7</v>
      </c>
      <c r="I54" s="12">
        <v>5.1</v>
      </c>
      <c r="J54" s="25">
        <v>3.1</v>
      </c>
      <c r="K54" s="43">
        <v>671.3</v>
      </c>
      <c r="L54" s="338"/>
      <c r="M54" s="208"/>
    </row>
    <row r="55" spans="2:13" ht="15" customHeight="1">
      <c r="B55" s="244">
        <v>2019</v>
      </c>
      <c r="C55" s="24">
        <f>SUM(D55:K55)</f>
        <v>9624</v>
      </c>
      <c r="D55" s="25">
        <v>3057.2</v>
      </c>
      <c r="E55" s="25">
        <v>3816.8</v>
      </c>
      <c r="F55" s="25">
        <v>256</v>
      </c>
      <c r="G55" s="25">
        <v>1120</v>
      </c>
      <c r="H55" s="12">
        <v>224.8</v>
      </c>
      <c r="I55" s="12">
        <v>5</v>
      </c>
      <c r="J55" s="25">
        <v>2.6</v>
      </c>
      <c r="K55" s="43">
        <v>1141.6</v>
      </c>
      <c r="L55" s="338"/>
      <c r="M55" s="208"/>
    </row>
    <row r="56" spans="2:13" ht="15" customHeight="1">
      <c r="B56" s="315">
        <v>2020</v>
      </c>
      <c r="C56" s="168">
        <f>SUM(D56:K56)</f>
        <v>8926.7</v>
      </c>
      <c r="D56" s="169">
        <v>3271.2</v>
      </c>
      <c r="E56" s="169">
        <v>2866.7</v>
      </c>
      <c r="F56" s="169">
        <v>174.4</v>
      </c>
      <c r="G56" s="169">
        <v>1008.1</v>
      </c>
      <c r="H56" s="170">
        <v>235.6</v>
      </c>
      <c r="I56" s="170">
        <v>4.2</v>
      </c>
      <c r="J56" s="169">
        <v>2.6</v>
      </c>
      <c r="K56" s="171">
        <v>1363.9</v>
      </c>
      <c r="L56" s="338"/>
      <c r="M56" s="208"/>
    </row>
    <row r="57" spans="2:13" ht="15" customHeight="1" thickBot="1">
      <c r="B57" s="309">
        <v>2021</v>
      </c>
      <c r="C57" s="26">
        <f>SUM(D57:K57)</f>
        <v>9689</v>
      </c>
      <c r="D57" s="27">
        <v>3321</v>
      </c>
      <c r="E57" s="27">
        <v>3164</v>
      </c>
      <c r="F57" s="27">
        <v>172.1</v>
      </c>
      <c r="G57" s="27">
        <v>1068.1</v>
      </c>
      <c r="H57" s="445">
        <v>243.9</v>
      </c>
      <c r="I57" s="445">
        <v>4.4</v>
      </c>
      <c r="J57" s="27">
        <v>2.6</v>
      </c>
      <c r="K57" s="28">
        <v>1712.9</v>
      </c>
      <c r="L57" s="338"/>
      <c r="M57" s="208"/>
    </row>
    <row r="58" spans="2:13" ht="15" customHeight="1" thickBot="1">
      <c r="B58" s="21"/>
      <c r="C58" s="17"/>
      <c r="D58" s="192"/>
      <c r="E58" s="192"/>
      <c r="F58" s="192"/>
      <c r="G58" s="192"/>
      <c r="H58" s="192"/>
      <c r="I58" s="193"/>
      <c r="J58" s="193"/>
      <c r="K58" s="193"/>
      <c r="L58" s="17"/>
      <c r="M58" s="208"/>
    </row>
    <row r="59" spans="2:13" ht="24.75" customHeight="1" thickBot="1">
      <c r="B59" s="497" t="s">
        <v>73</v>
      </c>
      <c r="C59" s="498"/>
      <c r="D59" s="498"/>
      <c r="E59" s="498"/>
      <c r="F59" s="498"/>
      <c r="G59" s="498"/>
      <c r="H59" s="498"/>
      <c r="I59" s="498"/>
      <c r="J59" s="498"/>
      <c r="K59" s="499"/>
      <c r="L59" s="17"/>
      <c r="M59" s="208"/>
    </row>
    <row r="60" spans="2:13" ht="15" customHeight="1">
      <c r="B60" s="277">
        <v>1970</v>
      </c>
      <c r="C60" s="22">
        <f aca="true" t="shared" si="3" ref="C60:C65">SUM(D60:K60)</f>
        <v>99.99999999999997</v>
      </c>
      <c r="D60" s="23">
        <f aca="true" t="shared" si="4" ref="D60:K60">D6/$C$6*100</f>
        <v>29.410108404899336</v>
      </c>
      <c r="E60" s="23">
        <f t="shared" si="4"/>
        <v>31.324792341264253</v>
      </c>
      <c r="F60" s="23">
        <f t="shared" si="4"/>
        <v>13.543573138110657</v>
      </c>
      <c r="G60" s="23">
        <f t="shared" si="4"/>
        <v>9.784598057158945</v>
      </c>
      <c r="H60" s="23">
        <f t="shared" si="4"/>
        <v>1.9709981697874135</v>
      </c>
      <c r="I60" s="23">
        <f t="shared" si="4"/>
        <v>1.2248345769393212</v>
      </c>
      <c r="J60" s="23">
        <f t="shared" si="4"/>
        <v>0.9854990848937067</v>
      </c>
      <c r="K60" s="42">
        <f t="shared" si="4"/>
        <v>11.75559622694636</v>
      </c>
      <c r="L60" s="17"/>
      <c r="M60" s="208"/>
    </row>
    <row r="61" spans="2:13" ht="15" customHeight="1">
      <c r="B61" s="244">
        <v>1980</v>
      </c>
      <c r="C61" s="24">
        <f t="shared" si="3"/>
        <v>99.99999999999999</v>
      </c>
      <c r="D61" s="25">
        <f aca="true" t="shared" si="5" ref="D61:K61">D16/$C$16*100</f>
        <v>31.039869591795146</v>
      </c>
      <c r="E61" s="25">
        <f t="shared" si="5"/>
        <v>32.54771446036813</v>
      </c>
      <c r="F61" s="25">
        <f t="shared" si="5"/>
        <v>12.524621340759353</v>
      </c>
      <c r="G61" s="25">
        <f t="shared" si="5"/>
        <v>19.099368335257758</v>
      </c>
      <c r="H61" s="25">
        <f t="shared" si="5"/>
        <v>2.1055491408001084</v>
      </c>
      <c r="I61" s="25">
        <f t="shared" si="5"/>
        <v>0.6520410242477754</v>
      </c>
      <c r="J61" s="25">
        <f t="shared" si="5"/>
        <v>0.9441010663587583</v>
      </c>
      <c r="K61" s="43">
        <f t="shared" si="5"/>
        <v>1.0867350404129592</v>
      </c>
      <c r="L61" s="17"/>
      <c r="M61" s="208"/>
    </row>
    <row r="62" spans="2:13" ht="15" customHeight="1">
      <c r="B62" s="244">
        <v>1990</v>
      </c>
      <c r="C62" s="24">
        <f t="shared" si="3"/>
        <v>99.99999999999999</v>
      </c>
      <c r="D62" s="25">
        <f aca="true" t="shared" si="6" ref="D62:K62">D26/$C$26*100</f>
        <v>31.042377009254746</v>
      </c>
      <c r="E62" s="25">
        <f t="shared" si="6"/>
        <v>30.862152946906967</v>
      </c>
      <c r="F62" s="25">
        <f t="shared" si="6"/>
        <v>13.468095470043838</v>
      </c>
      <c r="G62" s="25">
        <f t="shared" si="6"/>
        <v>17.27715538236727</v>
      </c>
      <c r="H62" s="25">
        <f t="shared" si="6"/>
        <v>2.1480759863614223</v>
      </c>
      <c r="I62" s="25">
        <f t="shared" si="6"/>
        <v>0.6039941548952752</v>
      </c>
      <c r="J62" s="25">
        <f t="shared" si="6"/>
        <v>1.0813443740867024</v>
      </c>
      <c r="K62" s="43">
        <f t="shared" si="6"/>
        <v>3.5168046760837797</v>
      </c>
      <c r="L62" s="17"/>
      <c r="M62" s="208"/>
    </row>
    <row r="63" spans="2:13" ht="15" customHeight="1">
      <c r="B63" s="244">
        <v>2000</v>
      </c>
      <c r="C63" s="24">
        <f t="shared" si="3"/>
        <v>100</v>
      </c>
      <c r="D63" s="25">
        <f>D36/$C$36*100</f>
        <v>29.415169293099357</v>
      </c>
      <c r="E63" s="25">
        <f aca="true" t="shared" si="7" ref="E63:K63">E36/$C$36*100</f>
        <v>41.28278656178475</v>
      </c>
      <c r="F63" s="25">
        <f t="shared" si="7"/>
        <v>13.322459288100811</v>
      </c>
      <c r="G63" s="25">
        <f t="shared" si="7"/>
        <v>14.277446002472969</v>
      </c>
      <c r="H63" s="25">
        <f t="shared" si="7"/>
        <v>1.4443187498355736</v>
      </c>
      <c r="I63" s="25">
        <f t="shared" si="7"/>
        <v>0.2525584699166031</v>
      </c>
      <c r="J63" s="25">
        <f t="shared" si="7"/>
        <v>0.005261634789929231</v>
      </c>
      <c r="K63" s="43">
        <f t="shared" si="7"/>
        <v>0</v>
      </c>
      <c r="L63" s="17"/>
      <c r="M63" s="208"/>
    </row>
    <row r="64" spans="2:13" ht="15" customHeight="1">
      <c r="B64" s="284">
        <v>2010</v>
      </c>
      <c r="C64" s="339">
        <f t="shared" si="3"/>
        <v>100</v>
      </c>
      <c r="D64" s="113">
        <f>D46/$C$46*100</f>
        <v>31.672683513838752</v>
      </c>
      <c r="E64" s="113">
        <f aca="true" t="shared" si="8" ref="E64:J64">E46/$C$46*100</f>
        <v>41.82270356999599</v>
      </c>
      <c r="F64" s="113">
        <f t="shared" si="8"/>
        <v>7.553951062976334</v>
      </c>
      <c r="G64" s="113">
        <f t="shared" si="8"/>
        <v>12.040112314480545</v>
      </c>
      <c r="H64" s="113">
        <f t="shared" si="8"/>
        <v>2.113116726835138</v>
      </c>
      <c r="I64" s="113">
        <f t="shared" si="8"/>
        <v>0.07380665864420376</v>
      </c>
      <c r="J64" s="113">
        <f t="shared" si="8"/>
        <v>0.043321299638989175</v>
      </c>
      <c r="K64" s="43">
        <f>K46/$C$46*100</f>
        <v>4.6803048535900516</v>
      </c>
      <c r="L64" s="17"/>
      <c r="M64" s="208"/>
    </row>
    <row r="65" spans="2:13" ht="15" customHeight="1" thickBot="1">
      <c r="B65" s="309">
        <v>2021</v>
      </c>
      <c r="C65" s="26">
        <f t="shared" si="3"/>
        <v>99.99999999999999</v>
      </c>
      <c r="D65" s="27">
        <f>D57/$C$57*100</f>
        <v>34.275983073588606</v>
      </c>
      <c r="E65" s="27">
        <f aca="true" t="shared" si="9" ref="E65:K65">E57/$C$57*100</f>
        <v>32.65558881205491</v>
      </c>
      <c r="F65" s="27">
        <f t="shared" si="9"/>
        <v>1.776241098152544</v>
      </c>
      <c r="G65" s="27">
        <f t="shared" si="9"/>
        <v>11.023841469707914</v>
      </c>
      <c r="H65" s="27">
        <f t="shared" si="9"/>
        <v>2.517287645783879</v>
      </c>
      <c r="I65" s="27">
        <f t="shared" si="9"/>
        <v>0.0454123232531737</v>
      </c>
      <c r="J65" s="27">
        <f t="shared" si="9"/>
        <v>0.02683455464960264</v>
      </c>
      <c r="K65" s="28">
        <f t="shared" si="9"/>
        <v>17.678811022809374</v>
      </c>
      <c r="L65" s="17"/>
      <c r="M65" s="208"/>
    </row>
    <row r="66" spans="2:13" ht="15" customHeight="1" thickBot="1">
      <c r="B66" s="21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208"/>
    </row>
    <row r="67" spans="2:13" ht="24.75" customHeight="1" thickBot="1">
      <c r="B67" s="494" t="s">
        <v>75</v>
      </c>
      <c r="C67" s="495"/>
      <c r="D67" s="495"/>
      <c r="E67" s="495"/>
      <c r="F67" s="495"/>
      <c r="G67" s="495"/>
      <c r="H67" s="495"/>
      <c r="I67" s="495"/>
      <c r="J67" s="495"/>
      <c r="K67" s="496"/>
      <c r="L67" s="17"/>
      <c r="M67" s="208"/>
    </row>
    <row r="68" spans="2:13" ht="15" customHeight="1">
      <c r="B68" s="316" t="s">
        <v>91</v>
      </c>
      <c r="C68" s="22">
        <f>RATE(10,,-C6,C16)*100</f>
        <v>7.561153186435822</v>
      </c>
      <c r="D68" s="22">
        <f aca="true" t="shared" si="10" ref="D68:K68">RATE(10,,-D6,D16)*100</f>
        <v>8.142841336603674</v>
      </c>
      <c r="E68" s="22">
        <f t="shared" si="10"/>
        <v>7.973872926209788</v>
      </c>
      <c r="F68" s="22">
        <f t="shared" si="10"/>
        <v>6.723137525194731</v>
      </c>
      <c r="G68" s="22">
        <f t="shared" si="10"/>
        <v>15.001379819840576</v>
      </c>
      <c r="H68" s="22">
        <f t="shared" si="10"/>
        <v>8.273796678873742</v>
      </c>
      <c r="I68" s="22">
        <f t="shared" si="10"/>
        <v>0.989261890111085</v>
      </c>
      <c r="J68" s="22">
        <f t="shared" si="10"/>
        <v>7.1005438169154305</v>
      </c>
      <c r="K68" s="42">
        <f t="shared" si="10"/>
        <v>-15.229772103335678</v>
      </c>
      <c r="L68" s="17"/>
      <c r="M68" s="208"/>
    </row>
    <row r="69" spans="2:13" ht="15" customHeight="1">
      <c r="B69" s="317" t="s">
        <v>92</v>
      </c>
      <c r="C69" s="24">
        <f>RATE(10,,-C16,C26)*100</f>
        <v>3.380651258322309</v>
      </c>
      <c r="D69" s="24">
        <f aca="true" t="shared" si="11" ref="D69:K69">RATE(10,,-D16,D26)*100</f>
        <v>3.3814863424606054</v>
      </c>
      <c r="E69" s="24">
        <f t="shared" si="11"/>
        <v>2.832367802903144</v>
      </c>
      <c r="F69" s="24">
        <f t="shared" si="11"/>
        <v>4.134208856202688</v>
      </c>
      <c r="G69" s="24">
        <f t="shared" si="11"/>
        <v>2.3492317705944314</v>
      </c>
      <c r="H69" s="24">
        <f t="shared" si="11"/>
        <v>3.5875805506807468</v>
      </c>
      <c r="I69" s="24">
        <f t="shared" si="11"/>
        <v>2.59236588635207</v>
      </c>
      <c r="J69" s="24">
        <f t="shared" si="11"/>
        <v>4.79337255017797</v>
      </c>
      <c r="K69" s="43">
        <f t="shared" si="11"/>
        <v>16.263052571999573</v>
      </c>
      <c r="L69" s="17"/>
      <c r="M69" s="208"/>
    </row>
    <row r="70" spans="2:13" ht="15" customHeight="1">
      <c r="B70" s="317" t="s">
        <v>41</v>
      </c>
      <c r="C70" s="24">
        <f>RATE(10,,-C26,C36)*100</f>
        <v>6.3535606991763665</v>
      </c>
      <c r="D70" s="24">
        <f aca="true" t="shared" si="12" ref="D70:K70">RATE(10,,-D26,D36)*100</f>
        <v>5.782462548302006</v>
      </c>
      <c r="E70" s="24">
        <f t="shared" si="12"/>
        <v>9.492989390033035</v>
      </c>
      <c r="F70" s="24">
        <f t="shared" si="12"/>
        <v>6.237992640891338</v>
      </c>
      <c r="G70" s="24">
        <f t="shared" si="12"/>
        <v>4.344572312663169</v>
      </c>
      <c r="H70" s="24">
        <f t="shared" si="12"/>
        <v>2.214704042968413</v>
      </c>
      <c r="I70" s="24">
        <f t="shared" si="12"/>
        <v>-2.52686041874224</v>
      </c>
      <c r="J70" s="24">
        <f>RATE(10,,-J26,J36)*100</f>
        <v>-37.5593087722849</v>
      </c>
      <c r="K70" s="43">
        <f t="shared" si="12"/>
        <v>-99.99987411013713</v>
      </c>
      <c r="L70" s="17"/>
      <c r="M70" s="208"/>
    </row>
    <row r="71" spans="2:13" ht="15" customHeight="1">
      <c r="B71" s="317" t="s">
        <v>146</v>
      </c>
      <c r="C71" s="45">
        <f>RATE(10,,-C36,C46)*100</f>
        <v>5.069169432944656</v>
      </c>
      <c r="D71" s="25">
        <f aca="true" t="shared" si="13" ref="D71:J71">RATE(10,,-D36,D46)*100</f>
        <v>5.848973354315228</v>
      </c>
      <c r="E71" s="25">
        <f t="shared" si="13"/>
        <v>5.205782072988828</v>
      </c>
      <c r="F71" s="25">
        <f t="shared" si="13"/>
        <v>-0.7262846671323226</v>
      </c>
      <c r="G71" s="25">
        <f t="shared" si="13"/>
        <v>3.293573031460261</v>
      </c>
      <c r="H71" s="25">
        <f t="shared" si="13"/>
        <v>9.144371172275923</v>
      </c>
      <c r="I71" s="25">
        <f t="shared" si="13"/>
        <v>-7.092952276396764</v>
      </c>
      <c r="J71" s="25">
        <f t="shared" si="13"/>
        <v>29.727896698036727</v>
      </c>
      <c r="K71" s="43"/>
      <c r="L71" s="17"/>
      <c r="M71" s="208"/>
    </row>
    <row r="72" spans="2:12" ht="15" customHeight="1" thickBot="1">
      <c r="B72" s="340" t="s">
        <v>192</v>
      </c>
      <c r="C72" s="46">
        <f>RATE(11,,-C46,C57)*100</f>
        <v>4.092561838357427</v>
      </c>
      <c r="D72" s="27">
        <f>RATE(11,,-D46,D57)*100</f>
        <v>4.842734303315485</v>
      </c>
      <c r="E72" s="27">
        <f aca="true" t="shared" si="14" ref="E72:J72">RATE(11,,-E46,E57)*100</f>
        <v>1.777340550107892</v>
      </c>
      <c r="F72" s="27">
        <f t="shared" si="14"/>
        <v>-8.742687623768001</v>
      </c>
      <c r="G72" s="27">
        <f t="shared" si="14"/>
        <v>3.261421452351275</v>
      </c>
      <c r="H72" s="27">
        <f t="shared" si="14"/>
        <v>5.761996048511199</v>
      </c>
      <c r="I72" s="27">
        <f t="shared" si="14"/>
        <v>-0.40329151914514455</v>
      </c>
      <c r="J72" s="27">
        <f t="shared" si="14"/>
        <v>-0.3425059961968542</v>
      </c>
      <c r="K72" s="28">
        <f>RATE(11,,-K46,K57)*100</f>
        <v>17.460138148643807</v>
      </c>
      <c r="L72" s="17"/>
    </row>
    <row r="73" spans="2:12" ht="15" customHeight="1">
      <c r="B73" s="33"/>
      <c r="C73" s="19"/>
      <c r="D73" s="19"/>
      <c r="E73" s="19"/>
      <c r="F73" s="19"/>
      <c r="G73" s="19"/>
      <c r="H73" s="19"/>
      <c r="I73" s="19"/>
      <c r="J73" s="19"/>
      <c r="K73" s="19"/>
      <c r="L73" s="17"/>
    </row>
    <row r="74" spans="2:12" s="4" customFormat="1" ht="15" customHeight="1">
      <c r="B74" s="40" t="s">
        <v>42</v>
      </c>
      <c r="C74" s="5"/>
      <c r="D74" s="5"/>
      <c r="E74" s="5"/>
      <c r="F74" s="5"/>
      <c r="G74" s="5"/>
      <c r="H74" s="41"/>
      <c r="I74" s="41"/>
      <c r="J74" s="41"/>
      <c r="K74" s="41"/>
      <c r="L74" s="5"/>
    </row>
    <row r="75" spans="2:12" s="4" customFormat="1" ht="15" customHeight="1">
      <c r="B75" s="40" t="s">
        <v>43</v>
      </c>
      <c r="C75" s="5"/>
      <c r="D75" s="5"/>
      <c r="E75" s="5"/>
      <c r="F75" s="5"/>
      <c r="G75" s="5"/>
      <c r="H75" s="41"/>
      <c r="I75" s="41"/>
      <c r="J75" s="41"/>
      <c r="K75" s="41"/>
      <c r="L75" s="5"/>
    </row>
    <row r="77" spans="2:11" ht="15" customHeight="1">
      <c r="B77" s="8"/>
      <c r="C77" s="203"/>
      <c r="D77" s="203"/>
      <c r="E77" s="203"/>
      <c r="F77" s="203"/>
      <c r="G77" s="203"/>
      <c r="H77" s="203"/>
      <c r="I77" s="203"/>
      <c r="J77" s="203"/>
      <c r="K77" s="203"/>
    </row>
  </sheetData>
  <sheetProtection/>
  <mergeCells count="6">
    <mergeCell ref="B67:K67"/>
    <mergeCell ref="B59:K59"/>
    <mergeCell ref="B1:K1"/>
    <mergeCell ref="B2:K2"/>
    <mergeCell ref="B3:K3"/>
    <mergeCell ref="B4:K4"/>
  </mergeCells>
  <printOptions horizontalCentered="1"/>
  <pageMargins left="0.3937007874015748" right="0.3937007874015748" top="0.7874015748031497" bottom="0.3937007874015748" header="0" footer="0"/>
  <pageSetup fitToHeight="1" fitToWidth="1" orientation="landscape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H75"/>
  <sheetViews>
    <sheetView zoomScalePageLayoutView="0" workbookViewId="0" topLeftCell="A1">
      <selection activeCell="F82" sqref="F82"/>
    </sheetView>
  </sheetViews>
  <sheetFormatPr defaultColWidth="21.8515625" defaultRowHeight="15" customHeight="1"/>
  <cols>
    <col min="1" max="1" width="2.7109375" style="13" customWidth="1"/>
    <col min="2" max="2" width="15.7109375" style="15" customWidth="1"/>
    <col min="3" max="7" width="15.7109375" style="13" customWidth="1"/>
    <col min="8" max="16384" width="21.8515625" style="13" customWidth="1"/>
  </cols>
  <sheetData>
    <row r="1" spans="2:8" ht="15" customHeight="1">
      <c r="B1" s="479" t="s">
        <v>29</v>
      </c>
      <c r="C1" s="479"/>
      <c r="D1" s="479"/>
      <c r="E1" s="479"/>
      <c r="F1" s="479"/>
      <c r="G1" s="479"/>
      <c r="H1" s="17"/>
    </row>
    <row r="2" spans="2:8" ht="15" customHeight="1">
      <c r="B2" s="479" t="s">
        <v>85</v>
      </c>
      <c r="C2" s="479"/>
      <c r="D2" s="479"/>
      <c r="E2" s="479"/>
      <c r="F2" s="479"/>
      <c r="G2" s="479"/>
      <c r="H2" s="17"/>
    </row>
    <row r="3" spans="2:8" ht="15" customHeight="1">
      <c r="B3" s="479" t="s">
        <v>191</v>
      </c>
      <c r="C3" s="479"/>
      <c r="D3" s="479"/>
      <c r="E3" s="479"/>
      <c r="F3" s="479"/>
      <c r="G3" s="479"/>
      <c r="H3" s="17"/>
    </row>
    <row r="4" spans="2:8" ht="15" customHeight="1" thickBot="1">
      <c r="B4" s="479" t="s">
        <v>44</v>
      </c>
      <c r="C4" s="479"/>
      <c r="D4" s="479"/>
      <c r="E4" s="479"/>
      <c r="F4" s="479"/>
      <c r="G4" s="479"/>
      <c r="H4" s="17"/>
    </row>
    <row r="5" spans="2:8" s="14" customFormat="1" ht="45" customHeight="1" thickBot="1">
      <c r="B5" s="311" t="s">
        <v>46</v>
      </c>
      <c r="C5" s="318" t="s">
        <v>27</v>
      </c>
      <c r="D5" s="313" t="s">
        <v>87</v>
      </c>
      <c r="E5" s="313" t="s">
        <v>88</v>
      </c>
      <c r="F5" s="313" t="s">
        <v>89</v>
      </c>
      <c r="G5" s="314" t="s">
        <v>90</v>
      </c>
      <c r="H5" s="39"/>
    </row>
    <row r="6" spans="2:8" ht="15" customHeight="1">
      <c r="B6" s="272">
        <v>1970</v>
      </c>
      <c r="C6" s="44">
        <f>'C-DE-8 VenEnerElecXSer,70-21'!C6</f>
        <v>710.3000000000001</v>
      </c>
      <c r="D6" s="23">
        <v>208.9</v>
      </c>
      <c r="E6" s="23">
        <v>222.5</v>
      </c>
      <c r="F6" s="23">
        <v>96.2</v>
      </c>
      <c r="G6" s="42">
        <v>69.5</v>
      </c>
      <c r="H6" s="17"/>
    </row>
    <row r="7" spans="2:8" ht="15" customHeight="1">
      <c r="B7" s="273">
        <v>1971</v>
      </c>
      <c r="C7" s="45">
        <f>'C-DE-8 VenEnerElecXSer,70-21'!C7</f>
        <v>775.4000000000001</v>
      </c>
      <c r="D7" s="25">
        <v>254.5</v>
      </c>
      <c r="E7" s="25">
        <v>246.1</v>
      </c>
      <c r="F7" s="25">
        <v>110.7</v>
      </c>
      <c r="G7" s="43">
        <v>79.3</v>
      </c>
      <c r="H7" s="17"/>
    </row>
    <row r="8" spans="2:8" ht="15" customHeight="1">
      <c r="B8" s="273">
        <v>1972</v>
      </c>
      <c r="C8" s="45">
        <f>'C-DE-8 VenEnerElecXSer,70-21'!C8</f>
        <v>869.8000000000002</v>
      </c>
      <c r="D8" s="25">
        <v>300.8</v>
      </c>
      <c r="E8" s="25">
        <v>273.2</v>
      </c>
      <c r="F8" s="25">
        <v>114.7</v>
      </c>
      <c r="G8" s="43">
        <v>104.1</v>
      </c>
      <c r="H8" s="17"/>
    </row>
    <row r="9" spans="2:8" ht="15" customHeight="1">
      <c r="B9" s="273">
        <v>1973</v>
      </c>
      <c r="C9" s="45">
        <f>'C-DE-8 VenEnerElecXSer,70-21'!C9</f>
        <v>983.9999999999999</v>
      </c>
      <c r="D9" s="25">
        <v>336.9</v>
      </c>
      <c r="E9" s="25">
        <v>307.9</v>
      </c>
      <c r="F9" s="25">
        <v>128.4</v>
      </c>
      <c r="G9" s="43">
        <v>106.9</v>
      </c>
      <c r="H9" s="17"/>
    </row>
    <row r="10" spans="2:8" ht="15" customHeight="1">
      <c r="B10" s="273">
        <v>1974</v>
      </c>
      <c r="C10" s="45">
        <f>'C-DE-8 VenEnerElecXSer,70-21'!C10</f>
        <v>980.7</v>
      </c>
      <c r="D10" s="25">
        <v>343.1</v>
      </c>
      <c r="E10" s="25">
        <v>340.8</v>
      </c>
      <c r="F10" s="25">
        <v>124.9</v>
      </c>
      <c r="G10" s="43">
        <v>120</v>
      </c>
      <c r="H10" s="17"/>
    </row>
    <row r="11" spans="2:8" ht="15" customHeight="1">
      <c r="B11" s="273">
        <v>1975</v>
      </c>
      <c r="C11" s="45">
        <f>'C-DE-8 VenEnerElecXSer,70-21'!C11</f>
        <v>1041.0000000000002</v>
      </c>
      <c r="D11" s="25">
        <v>361.4</v>
      </c>
      <c r="E11" s="25">
        <v>351.8</v>
      </c>
      <c r="F11" s="25">
        <v>132.7</v>
      </c>
      <c r="G11" s="43">
        <v>142.1</v>
      </c>
      <c r="H11" s="17"/>
    </row>
    <row r="12" spans="2:8" ht="15" customHeight="1">
      <c r="B12" s="273">
        <v>1976</v>
      </c>
      <c r="C12" s="45">
        <f>'C-DE-8 VenEnerElecXSer,70-21'!C12</f>
        <v>1143.0999999999997</v>
      </c>
      <c r="D12" s="25">
        <v>393.4</v>
      </c>
      <c r="E12" s="25">
        <v>364.2</v>
      </c>
      <c r="F12" s="25">
        <v>129.1</v>
      </c>
      <c r="G12" s="43">
        <v>177.8</v>
      </c>
      <c r="H12" s="17"/>
    </row>
    <row r="13" spans="2:8" ht="15" customHeight="1">
      <c r="B13" s="273">
        <v>1977</v>
      </c>
      <c r="C13" s="45">
        <f>'C-DE-8 VenEnerElecXSer,70-21'!C13</f>
        <v>1260.1000000000001</v>
      </c>
      <c r="D13" s="25">
        <v>402.5</v>
      </c>
      <c r="E13" s="25">
        <v>396.6</v>
      </c>
      <c r="F13" s="25">
        <v>127.9</v>
      </c>
      <c r="G13" s="43">
        <v>196.5</v>
      </c>
      <c r="H13" s="17"/>
    </row>
    <row r="14" spans="2:8" ht="15" customHeight="1">
      <c r="B14" s="273">
        <v>1978</v>
      </c>
      <c r="C14" s="45">
        <f>'C-DE-8 VenEnerElecXSer,70-21'!C14</f>
        <v>1268.1999999999998</v>
      </c>
      <c r="D14" s="25">
        <v>413.1</v>
      </c>
      <c r="E14" s="25">
        <v>419.1</v>
      </c>
      <c r="F14" s="25">
        <v>142.5</v>
      </c>
      <c r="G14" s="43">
        <v>223.5</v>
      </c>
      <c r="H14" s="17"/>
    </row>
    <row r="15" spans="2:8" ht="15" customHeight="1">
      <c r="B15" s="273">
        <v>1979</v>
      </c>
      <c r="C15" s="45">
        <f>'C-DE-8 VenEnerElecXSer,70-21'!C15</f>
        <v>1480.9</v>
      </c>
      <c r="D15" s="25">
        <v>444.7</v>
      </c>
      <c r="E15" s="25">
        <v>445</v>
      </c>
      <c r="F15" s="25">
        <v>161.8</v>
      </c>
      <c r="G15" s="43">
        <v>250.2</v>
      </c>
      <c r="H15" s="17"/>
    </row>
    <row r="16" spans="2:8" ht="15" customHeight="1">
      <c r="B16" s="273">
        <v>1980</v>
      </c>
      <c r="C16" s="45">
        <f>'C-DE-8 VenEnerElecXSer,70-21'!C16</f>
        <v>1472.3000000000002</v>
      </c>
      <c r="D16" s="25">
        <v>457</v>
      </c>
      <c r="E16" s="25">
        <v>479.2</v>
      </c>
      <c r="F16" s="25">
        <v>184.4</v>
      </c>
      <c r="G16" s="43">
        <v>281.2</v>
      </c>
      <c r="H16" s="17"/>
    </row>
    <row r="17" spans="2:8" ht="15" customHeight="1">
      <c r="B17" s="273">
        <v>1981</v>
      </c>
      <c r="C17" s="45">
        <f>'C-DE-8 VenEnerElecXSer,70-21'!C17</f>
        <v>1554.3</v>
      </c>
      <c r="D17" s="25">
        <v>474.6</v>
      </c>
      <c r="E17" s="25">
        <v>498</v>
      </c>
      <c r="F17" s="25">
        <v>188.4</v>
      </c>
      <c r="G17" s="43">
        <v>287.4</v>
      </c>
      <c r="H17" s="17"/>
    </row>
    <row r="18" spans="2:8" ht="15" customHeight="1">
      <c r="B18" s="273">
        <v>1982</v>
      </c>
      <c r="C18" s="45">
        <f>'C-DE-8 VenEnerElecXSer,70-21'!C18</f>
        <v>1674.8</v>
      </c>
      <c r="D18" s="25">
        <v>499</v>
      </c>
      <c r="E18" s="25">
        <v>532</v>
      </c>
      <c r="F18" s="25">
        <v>218</v>
      </c>
      <c r="G18" s="43">
        <v>311.3</v>
      </c>
      <c r="H18" s="17"/>
    </row>
    <row r="19" spans="2:8" ht="15" customHeight="1">
      <c r="B19" s="273">
        <v>1983</v>
      </c>
      <c r="C19" s="45">
        <f>'C-DE-8 VenEnerElecXSer,70-21'!C19</f>
        <v>1850.6</v>
      </c>
      <c r="D19" s="25">
        <v>527.9</v>
      </c>
      <c r="E19" s="25">
        <v>567.9</v>
      </c>
      <c r="F19" s="25">
        <v>218.8</v>
      </c>
      <c r="G19" s="43">
        <v>337.2</v>
      </c>
      <c r="H19" s="17"/>
    </row>
    <row r="20" spans="2:8" ht="15" customHeight="1">
      <c r="B20" s="273">
        <v>1984</v>
      </c>
      <c r="C20" s="45">
        <f>'C-DE-8 VenEnerElecXSer,70-21'!C20</f>
        <v>1816.5000000000002</v>
      </c>
      <c r="D20" s="25">
        <v>521.5</v>
      </c>
      <c r="E20" s="25">
        <v>574.4</v>
      </c>
      <c r="F20" s="25">
        <v>228.7</v>
      </c>
      <c r="G20" s="43">
        <v>326.6</v>
      </c>
      <c r="H20" s="17"/>
    </row>
    <row r="21" spans="2:8" ht="15" customHeight="1">
      <c r="B21" s="273">
        <v>1985</v>
      </c>
      <c r="C21" s="45">
        <f>'C-DE-8 VenEnerElecXSer,70-21'!C21</f>
        <v>1944.1000000000004</v>
      </c>
      <c r="D21" s="25">
        <v>559.6</v>
      </c>
      <c r="E21" s="25">
        <v>609.8</v>
      </c>
      <c r="F21" s="25">
        <v>252.4</v>
      </c>
      <c r="G21" s="43">
        <v>350</v>
      </c>
      <c r="H21" s="17"/>
    </row>
    <row r="22" spans="2:8" ht="15" customHeight="1">
      <c r="B22" s="273">
        <v>1986</v>
      </c>
      <c r="C22" s="45">
        <f>'C-DE-8 VenEnerElecXSer,70-21'!C22</f>
        <v>2045.0999999999997</v>
      </c>
      <c r="D22" s="25">
        <v>606.9</v>
      </c>
      <c r="E22" s="25">
        <v>647.7</v>
      </c>
      <c r="F22" s="25">
        <v>267.6</v>
      </c>
      <c r="G22" s="43">
        <v>362.6</v>
      </c>
      <c r="H22" s="17"/>
    </row>
    <row r="23" spans="2:8" ht="15" customHeight="1">
      <c r="B23" s="273">
        <v>1987</v>
      </c>
      <c r="C23" s="45">
        <f>'C-DE-8 VenEnerElecXSer,70-21'!C23</f>
        <v>2191.1</v>
      </c>
      <c r="D23" s="25">
        <v>662.7</v>
      </c>
      <c r="E23" s="25">
        <v>678.4</v>
      </c>
      <c r="F23" s="25">
        <v>305.5</v>
      </c>
      <c r="G23" s="43">
        <v>380.1</v>
      </c>
      <c r="H23" s="17"/>
    </row>
    <row r="24" spans="2:8" ht="15" customHeight="1">
      <c r="B24" s="273">
        <v>1988</v>
      </c>
      <c r="C24" s="45">
        <f>'C-DE-8 VenEnerElecXSer,70-21'!C24</f>
        <v>2063.1</v>
      </c>
      <c r="D24" s="25">
        <v>655.1</v>
      </c>
      <c r="E24" s="25">
        <v>605.5</v>
      </c>
      <c r="F24" s="25">
        <v>246.7</v>
      </c>
      <c r="G24" s="43">
        <v>363.8</v>
      </c>
      <c r="H24" s="17"/>
    </row>
    <row r="25" spans="2:8" ht="15" customHeight="1">
      <c r="B25" s="273">
        <v>1989</v>
      </c>
      <c r="C25" s="45">
        <f>'C-DE-8 VenEnerElecXSer,70-21'!C25</f>
        <v>1983.6000000000004</v>
      </c>
      <c r="D25" s="25">
        <v>613.6</v>
      </c>
      <c r="E25" s="25">
        <v>610.7</v>
      </c>
      <c r="F25" s="25">
        <v>254.9</v>
      </c>
      <c r="G25" s="43">
        <v>356.7</v>
      </c>
      <c r="H25" s="17"/>
    </row>
    <row r="26" spans="2:8" ht="15" customHeight="1">
      <c r="B26" s="273">
        <v>1990</v>
      </c>
      <c r="C26" s="45">
        <f>'C-DE-8 VenEnerElecXSer,70-21'!C26</f>
        <v>2053</v>
      </c>
      <c r="D26" s="25">
        <v>637.3</v>
      </c>
      <c r="E26" s="25">
        <v>633.6</v>
      </c>
      <c r="F26" s="25">
        <v>276.5</v>
      </c>
      <c r="G26" s="43">
        <v>354.7</v>
      </c>
      <c r="H26" s="17"/>
    </row>
    <row r="27" spans="2:8" ht="15" customHeight="1">
      <c r="B27" s="273">
        <v>1991</v>
      </c>
      <c r="C27" s="45">
        <f>'C-DE-8 VenEnerElecXSer,70-21'!C27</f>
        <v>2185.8999999999996</v>
      </c>
      <c r="D27" s="25">
        <v>673.4</v>
      </c>
      <c r="E27" s="25">
        <v>703.1</v>
      </c>
      <c r="F27" s="25">
        <v>321.1</v>
      </c>
      <c r="G27" s="43">
        <v>349.6</v>
      </c>
      <c r="H27" s="17"/>
    </row>
    <row r="28" spans="2:8" ht="15" customHeight="1">
      <c r="B28" s="273">
        <v>1992</v>
      </c>
      <c r="C28" s="45">
        <f>'C-DE-8 VenEnerElecXSer,70-21'!C28</f>
        <v>2311.4</v>
      </c>
      <c r="D28" s="25">
        <v>716.3</v>
      </c>
      <c r="E28" s="25">
        <v>754.1</v>
      </c>
      <c r="F28" s="25">
        <v>366.2</v>
      </c>
      <c r="G28" s="43">
        <v>367.8</v>
      </c>
      <c r="H28" s="17"/>
    </row>
    <row r="29" spans="2:8" ht="15" customHeight="1">
      <c r="B29" s="273">
        <v>1993</v>
      </c>
      <c r="C29" s="45">
        <f>'C-DE-8 VenEnerElecXSer,70-21'!C29</f>
        <v>2486.1730000000002</v>
      </c>
      <c r="D29" s="25">
        <v>749.8</v>
      </c>
      <c r="E29" s="25">
        <f>839.5+0.073</f>
        <v>839.573</v>
      </c>
      <c r="F29" s="25">
        <v>409.9</v>
      </c>
      <c r="G29" s="43">
        <v>392.8</v>
      </c>
      <c r="H29" s="17"/>
    </row>
    <row r="30" spans="2:8" ht="15" customHeight="1">
      <c r="B30" s="273">
        <v>1994</v>
      </c>
      <c r="C30" s="45">
        <f>'C-DE-8 VenEnerElecXSer,70-21'!C30</f>
        <v>2671.8549999999996</v>
      </c>
      <c r="D30" s="25">
        <v>788.5</v>
      </c>
      <c r="E30" s="25">
        <f>912.8+0.275</f>
        <v>913.0749999999999</v>
      </c>
      <c r="F30" s="25">
        <v>429.7</v>
      </c>
      <c r="G30" s="43">
        <f>8.08+289.5+118.6</f>
        <v>416.17999999999995</v>
      </c>
      <c r="H30" s="17"/>
    </row>
    <row r="31" spans="2:7" ht="15" customHeight="1">
      <c r="B31" s="273">
        <v>1995</v>
      </c>
      <c r="C31" s="45">
        <f>'C-DE-8 VenEnerElecXSer,70-21'!C31</f>
        <v>2869.593</v>
      </c>
      <c r="D31" s="25">
        <v>848.2</v>
      </c>
      <c r="E31" s="25">
        <v>1000.9</v>
      </c>
      <c r="F31" s="25">
        <v>459.2</v>
      </c>
      <c r="G31" s="43">
        <f>9.7+320.1+133.2</f>
        <v>463</v>
      </c>
    </row>
    <row r="32" spans="2:7" ht="15" customHeight="1">
      <c r="B32" s="273">
        <v>1996</v>
      </c>
      <c r="C32" s="45">
        <f>'C-DE-8 VenEnerElecXSer,70-21'!C32</f>
        <v>2984.014</v>
      </c>
      <c r="D32" s="25">
        <v>863.154</v>
      </c>
      <c r="E32" s="25">
        <f>1041.738+0.165</f>
        <v>1041.903</v>
      </c>
      <c r="F32" s="25">
        <v>467.329</v>
      </c>
      <c r="G32" s="43">
        <f>10.11+339.918+140.33</f>
        <v>490.35800000000006</v>
      </c>
    </row>
    <row r="33" spans="2:7" ht="15" customHeight="1">
      <c r="B33" s="273">
        <v>1997</v>
      </c>
      <c r="C33" s="45">
        <f>'C-DE-8 VenEnerElecXSer,70-21'!C33</f>
        <v>3302.0570000000002</v>
      </c>
      <c r="D33" s="25">
        <v>937.4</v>
      </c>
      <c r="E33" s="25">
        <f>1181.5+0.15</f>
        <v>1181.65</v>
      </c>
      <c r="F33" s="25">
        <v>471.52</v>
      </c>
      <c r="G33" s="43">
        <f>10.54+342.42+155.13</f>
        <v>508.09000000000003</v>
      </c>
    </row>
    <row r="34" spans="2:7" ht="15" customHeight="1">
      <c r="B34" s="273">
        <v>1998</v>
      </c>
      <c r="C34" s="45">
        <f>'C-DE-8 VenEnerElecXSer,70-21'!C34</f>
        <v>3392.3239999999996</v>
      </c>
      <c r="D34" s="25">
        <v>1004.575</v>
      </c>
      <c r="E34" s="25">
        <v>1342.042</v>
      </c>
      <c r="F34" s="25">
        <v>487.6</v>
      </c>
      <c r="G34" s="43">
        <f>10.983+309.253+156.734</f>
        <v>476.97</v>
      </c>
    </row>
    <row r="35" spans="2:7" ht="15" customHeight="1">
      <c r="B35" s="273">
        <v>1999</v>
      </c>
      <c r="C35" s="45">
        <f>'C-DE-8 VenEnerElecXSer,70-21'!C35</f>
        <v>3578</v>
      </c>
      <c r="D35" s="25">
        <v>1041.9</v>
      </c>
      <c r="E35" s="25">
        <v>1449</v>
      </c>
      <c r="F35" s="25">
        <v>524.3</v>
      </c>
      <c r="G35" s="43">
        <v>488.3</v>
      </c>
    </row>
    <row r="36" spans="2:7" ht="15" customHeight="1">
      <c r="B36" s="273">
        <v>2000</v>
      </c>
      <c r="C36" s="45">
        <f>'C-DE-8 VenEnerElecXSer,70-21'!C36</f>
        <v>3801.1000000000004</v>
      </c>
      <c r="D36" s="25">
        <v>1118.1</v>
      </c>
      <c r="E36" s="25">
        <v>1569.2</v>
      </c>
      <c r="F36" s="25">
        <v>506.4</v>
      </c>
      <c r="G36" s="43">
        <v>542.7</v>
      </c>
    </row>
    <row r="37" spans="2:7" ht="15" customHeight="1">
      <c r="B37" s="319">
        <v>2001</v>
      </c>
      <c r="C37" s="172">
        <f>'C-DE-8 VenEnerElecXSer,70-21'!C37</f>
        <v>3933.8999999999996</v>
      </c>
      <c r="D37" s="169">
        <v>1161.3</v>
      </c>
      <c r="E37" s="169">
        <v>1619</v>
      </c>
      <c r="F37" s="169">
        <v>430.4</v>
      </c>
      <c r="G37" s="171">
        <v>577.9</v>
      </c>
    </row>
    <row r="38" spans="2:7" ht="15" customHeight="1">
      <c r="B38" s="273">
        <v>2002</v>
      </c>
      <c r="C38" s="45">
        <f>'C-DE-8 VenEnerElecXSer,70-21'!C38</f>
        <v>4112.999999999999</v>
      </c>
      <c r="D38" s="25">
        <v>1261</v>
      </c>
      <c r="E38" s="25">
        <v>1733.6</v>
      </c>
      <c r="F38" s="25">
        <v>367.8</v>
      </c>
      <c r="G38" s="43">
        <v>581.3</v>
      </c>
    </row>
    <row r="39" spans="2:7" ht="15" customHeight="1">
      <c r="B39" s="273">
        <v>2003</v>
      </c>
      <c r="C39" s="45">
        <f>'C-DE-8 VenEnerElecXSer,70-21'!C39</f>
        <v>4306.9</v>
      </c>
      <c r="D39" s="25">
        <v>1341.2</v>
      </c>
      <c r="E39" s="25">
        <v>1947.9</v>
      </c>
      <c r="F39" s="25">
        <v>247.3</v>
      </c>
      <c r="G39" s="43">
        <v>589.9</v>
      </c>
    </row>
    <row r="40" spans="2:8" ht="15" customHeight="1">
      <c r="B40" s="319">
        <v>2004</v>
      </c>
      <c r="C40" s="172">
        <f>'C-DE-8 VenEnerElecXSer,70-21'!C40</f>
        <v>4595.2</v>
      </c>
      <c r="D40" s="169">
        <v>1437.7</v>
      </c>
      <c r="E40" s="169">
        <v>2065.2</v>
      </c>
      <c r="F40" s="169">
        <v>237.8</v>
      </c>
      <c r="G40" s="145">
        <v>635.8</v>
      </c>
      <c r="H40" s="202"/>
    </row>
    <row r="41" spans="2:8" ht="15" customHeight="1">
      <c r="B41" s="273">
        <v>2005</v>
      </c>
      <c r="C41" s="45">
        <f>'C-DE-8 VenEnerElecXSer,70-21'!C41</f>
        <v>4780.799999999998</v>
      </c>
      <c r="D41" s="25">
        <v>1495.8</v>
      </c>
      <c r="E41" s="25">
        <v>2176.6</v>
      </c>
      <c r="F41" s="25">
        <v>258</v>
      </c>
      <c r="G41" s="43">
        <v>640.9</v>
      </c>
      <c r="H41" s="202"/>
    </row>
    <row r="42" spans="2:8" ht="15" customHeight="1">
      <c r="B42" s="319">
        <v>2006</v>
      </c>
      <c r="C42" s="172">
        <f>'C-DE-8 VenEnerElecXSer,70-21'!C42</f>
        <v>4934</v>
      </c>
      <c r="D42" s="169">
        <v>1534.2</v>
      </c>
      <c r="E42" s="169">
        <v>2119.4</v>
      </c>
      <c r="F42" s="169">
        <v>456.4</v>
      </c>
      <c r="G42" s="145">
        <v>655</v>
      </c>
      <c r="H42" s="202"/>
    </row>
    <row r="43" spans="2:8" ht="15" customHeight="1">
      <c r="B43" s="320">
        <v>2007</v>
      </c>
      <c r="C43" s="112">
        <f>'C-DE-8 VenEnerElecXSer,70-21'!C43</f>
        <v>5297.9</v>
      </c>
      <c r="D43" s="113">
        <v>1628.5</v>
      </c>
      <c r="E43" s="113">
        <v>2326.5</v>
      </c>
      <c r="F43" s="113">
        <v>470.9</v>
      </c>
      <c r="G43" s="145">
        <v>696.8</v>
      </c>
      <c r="H43" s="202"/>
    </row>
    <row r="44" spans="2:8" ht="15" customHeight="1">
      <c r="B44" s="320">
        <v>2008</v>
      </c>
      <c r="C44" s="112">
        <f>'C-DE-8 VenEnerElecXSer,70-21'!C44</f>
        <v>5462.100000000001</v>
      </c>
      <c r="D44" s="113">
        <v>1647.2</v>
      </c>
      <c r="E44" s="113">
        <v>2453.2</v>
      </c>
      <c r="F44" s="113">
        <v>469.6</v>
      </c>
      <c r="G44" s="145">
        <v>696.1</v>
      </c>
      <c r="H44" s="202"/>
    </row>
    <row r="45" spans="2:8" ht="15" customHeight="1">
      <c r="B45" s="273">
        <v>2009</v>
      </c>
      <c r="C45" s="45">
        <f>'C-DE-8 VenEnerElecXSer,70-21'!C45</f>
        <v>5737.999999999999</v>
      </c>
      <c r="D45" s="25">
        <v>1801.9</v>
      </c>
      <c r="E45" s="25">
        <v>2462</v>
      </c>
      <c r="F45" s="25">
        <v>525.2</v>
      </c>
      <c r="G45" s="43">
        <v>732.2</v>
      </c>
      <c r="H45" s="202"/>
    </row>
    <row r="46" spans="2:8" ht="15" customHeight="1">
      <c r="B46" s="273">
        <v>2010</v>
      </c>
      <c r="C46" s="45">
        <f>'C-DE-8 VenEnerElecXSer,70-21'!C46</f>
        <v>6232.5</v>
      </c>
      <c r="D46" s="25">
        <v>1974</v>
      </c>
      <c r="E46" s="25">
        <v>2606.6</v>
      </c>
      <c r="F46" s="25">
        <v>470.8</v>
      </c>
      <c r="G46" s="43">
        <v>750.4</v>
      </c>
      <c r="H46" s="202"/>
    </row>
    <row r="47" spans="2:8" ht="15" customHeight="1">
      <c r="B47" s="273">
        <v>2011</v>
      </c>
      <c r="C47" s="45">
        <f>'C-DE-8 VenEnerElecXSer,70-21'!C47</f>
        <v>6599.800000000001</v>
      </c>
      <c r="D47" s="25">
        <v>2084.1</v>
      </c>
      <c r="E47" s="25">
        <v>2797</v>
      </c>
      <c r="F47" s="25">
        <v>469.8</v>
      </c>
      <c r="G47" s="43">
        <v>768.6</v>
      </c>
      <c r="H47" s="202"/>
    </row>
    <row r="48" spans="2:8" ht="15" customHeight="1">
      <c r="B48" s="273">
        <v>2012</v>
      </c>
      <c r="C48" s="45">
        <f>'C-DE-8 VenEnerElecXSer,70-21'!C48</f>
        <v>7170.299999999999</v>
      </c>
      <c r="D48" s="25">
        <v>2248</v>
      </c>
      <c r="E48" s="25">
        <v>3092.1</v>
      </c>
      <c r="F48" s="25">
        <v>477.9</v>
      </c>
      <c r="G48" s="43">
        <v>822.4</v>
      </c>
      <c r="H48" s="202"/>
    </row>
    <row r="49" spans="2:8" ht="15" customHeight="1">
      <c r="B49" s="273">
        <v>2013</v>
      </c>
      <c r="C49" s="45">
        <f>'C-DE-8 VenEnerElecXSer,70-21'!C49</f>
        <v>7501.700000000002</v>
      </c>
      <c r="D49" s="25">
        <v>2380</v>
      </c>
      <c r="E49" s="25">
        <v>3236.6</v>
      </c>
      <c r="F49" s="25">
        <v>480.6</v>
      </c>
      <c r="G49" s="43">
        <v>830</v>
      </c>
      <c r="H49" s="202"/>
    </row>
    <row r="50" spans="2:8" ht="15" customHeight="1">
      <c r="B50" s="319">
        <v>2014</v>
      </c>
      <c r="C50" s="172">
        <f>'C-DE-8 VenEnerElecXSer,70-21'!C50</f>
        <v>7822.5</v>
      </c>
      <c r="D50" s="113">
        <v>2528.3</v>
      </c>
      <c r="E50" s="113">
        <v>3372.2</v>
      </c>
      <c r="F50" s="113">
        <v>465.2</v>
      </c>
      <c r="G50" s="145">
        <v>858.4</v>
      </c>
      <c r="H50" s="202"/>
    </row>
    <row r="51" spans="2:8" ht="15" customHeight="1">
      <c r="B51" s="273">
        <v>2015</v>
      </c>
      <c r="C51" s="45">
        <f>'C-DE-8 VenEnerElecXSer,70-21'!C51</f>
        <v>8368.599999999999</v>
      </c>
      <c r="D51" s="25">
        <v>2714.9</v>
      </c>
      <c r="E51" s="25">
        <v>3704.1</v>
      </c>
      <c r="F51" s="25">
        <v>459.2</v>
      </c>
      <c r="G51" s="43">
        <v>950.2</v>
      </c>
      <c r="H51" s="202"/>
    </row>
    <row r="52" spans="2:8" ht="15" customHeight="1">
      <c r="B52" s="273">
        <v>2016</v>
      </c>
      <c r="C52" s="45">
        <f>'C-DE-8 VenEnerElecXSer,70-21'!C52</f>
        <v>8588.499999999998</v>
      </c>
      <c r="D52" s="25">
        <v>2795.1</v>
      </c>
      <c r="E52" s="25">
        <v>3876.3</v>
      </c>
      <c r="F52" s="25">
        <v>449.7</v>
      </c>
      <c r="G52" s="43">
        <v>994.4</v>
      </c>
      <c r="H52" s="202"/>
    </row>
    <row r="53" spans="2:8" ht="15" customHeight="1">
      <c r="B53" s="319">
        <v>2017</v>
      </c>
      <c r="C53" s="172">
        <f>'C-DE-8 VenEnerElecXSer,70-21'!C53</f>
        <v>8896.999999999998</v>
      </c>
      <c r="D53" s="169">
        <v>2878.9</v>
      </c>
      <c r="E53" s="169">
        <v>3962.6</v>
      </c>
      <c r="F53" s="169">
        <v>407.3</v>
      </c>
      <c r="G53" s="145">
        <v>1009.2</v>
      </c>
      <c r="H53" s="202"/>
    </row>
    <row r="54" spans="2:8" ht="15" customHeight="1">
      <c r="B54" s="273">
        <v>2018</v>
      </c>
      <c r="C54" s="45">
        <f>'C-DE-8 VenEnerElecXSer,70-21'!C54</f>
        <v>9098.9</v>
      </c>
      <c r="D54" s="25">
        <v>2907.1</v>
      </c>
      <c r="E54" s="25">
        <v>3947.6</v>
      </c>
      <c r="F54" s="25">
        <v>321.4</v>
      </c>
      <c r="G54" s="43">
        <v>1025.6</v>
      </c>
      <c r="H54" s="202"/>
    </row>
    <row r="55" spans="2:8" ht="15" customHeight="1">
      <c r="B55" s="273">
        <v>2019</v>
      </c>
      <c r="C55" s="45">
        <f>'C-DE-8 VenEnerElecXSer,70-21'!C55</f>
        <v>9624</v>
      </c>
      <c r="D55" s="25">
        <v>3057.2</v>
      </c>
      <c r="E55" s="25">
        <v>3816.8</v>
      </c>
      <c r="F55" s="25">
        <v>256</v>
      </c>
      <c r="G55" s="43">
        <v>1120</v>
      </c>
      <c r="H55" s="202"/>
    </row>
    <row r="56" spans="2:8" ht="15" customHeight="1">
      <c r="B56" s="319">
        <v>2020</v>
      </c>
      <c r="C56" s="172">
        <f>'C-DE-8 VenEnerElecXSer,70-21'!C56</f>
        <v>8926.7</v>
      </c>
      <c r="D56" s="169">
        <v>3271.2</v>
      </c>
      <c r="E56" s="169">
        <v>2866.7</v>
      </c>
      <c r="F56" s="169">
        <v>174.4</v>
      </c>
      <c r="G56" s="145">
        <v>1008.1</v>
      </c>
      <c r="H56" s="202"/>
    </row>
    <row r="57" spans="2:8" ht="15" customHeight="1" thickBot="1">
      <c r="B57" s="458">
        <v>2021</v>
      </c>
      <c r="C57" s="46">
        <f>'C-DE-8 VenEnerElecXSer,70-21'!C57</f>
        <v>9689</v>
      </c>
      <c r="D57" s="27">
        <v>3321</v>
      </c>
      <c r="E57" s="27">
        <v>3164</v>
      </c>
      <c r="F57" s="27">
        <v>172.1</v>
      </c>
      <c r="G57" s="28">
        <v>1068.1</v>
      </c>
      <c r="H57" s="202"/>
    </row>
    <row r="58" spans="2:8" ht="15" customHeight="1" thickBot="1">
      <c r="B58" s="21"/>
      <c r="C58" s="17"/>
      <c r="D58" s="32"/>
      <c r="E58" s="32"/>
      <c r="F58" s="32"/>
      <c r="G58" s="32"/>
      <c r="H58" s="206"/>
    </row>
    <row r="59" spans="2:8" ht="24.75" customHeight="1" thickBot="1">
      <c r="B59" s="494" t="s">
        <v>73</v>
      </c>
      <c r="C59" s="498"/>
      <c r="D59" s="498"/>
      <c r="E59" s="498"/>
      <c r="F59" s="498"/>
      <c r="G59" s="499"/>
      <c r="H59" s="17"/>
    </row>
    <row r="60" spans="2:8" ht="15" customHeight="1">
      <c r="B60" s="272">
        <v>1970</v>
      </c>
      <c r="C60" s="44">
        <f>'C-DE-8 VenEnerElecXSer,70-21'!C60</f>
        <v>99.99999999999997</v>
      </c>
      <c r="D60" s="23">
        <f>D6/$C$6*100</f>
        <v>29.410108404899336</v>
      </c>
      <c r="E60" s="23">
        <f>E6/$C$6*100</f>
        <v>31.324792341264253</v>
      </c>
      <c r="F60" s="23">
        <f>F6/$C$6*100</f>
        <v>13.543573138110657</v>
      </c>
      <c r="G60" s="42">
        <f>G6/$C$6*100</f>
        <v>9.784598057158945</v>
      </c>
      <c r="H60" s="17"/>
    </row>
    <row r="61" spans="2:8" ht="15" customHeight="1">
      <c r="B61" s="273">
        <v>1980</v>
      </c>
      <c r="C61" s="45">
        <f>'C-DE-8 VenEnerElecXSer,70-21'!C61</f>
        <v>99.99999999999999</v>
      </c>
      <c r="D61" s="25">
        <f>D16/$C$16*100</f>
        <v>31.039869591795146</v>
      </c>
      <c r="E61" s="25">
        <f>E16/$C$16*100</f>
        <v>32.54771446036813</v>
      </c>
      <c r="F61" s="25">
        <f>F16/$C$16*100</f>
        <v>12.524621340759353</v>
      </c>
      <c r="G61" s="43">
        <f>G16/$C$16*100</f>
        <v>19.099368335257758</v>
      </c>
      <c r="H61" s="17"/>
    </row>
    <row r="62" spans="2:8" ht="15" customHeight="1">
      <c r="B62" s="273">
        <v>1990</v>
      </c>
      <c r="C62" s="45">
        <f>'C-DE-8 VenEnerElecXSer,70-21'!C62</f>
        <v>99.99999999999999</v>
      </c>
      <c r="D62" s="25">
        <f>D26/$C$26*100</f>
        <v>31.042377009254746</v>
      </c>
      <c r="E62" s="25">
        <f>E26/$C$26*100</f>
        <v>30.862152946906967</v>
      </c>
      <c r="F62" s="25">
        <f>F26/$C$26*100</f>
        <v>13.468095470043838</v>
      </c>
      <c r="G62" s="43">
        <f>G26/$C$26*100</f>
        <v>17.27715538236727</v>
      </c>
      <c r="H62" s="17"/>
    </row>
    <row r="63" spans="2:8" ht="15" customHeight="1">
      <c r="B63" s="320">
        <v>2000</v>
      </c>
      <c r="C63" s="112">
        <f>+'C-DE-8 VenEnerElecXSer,70-21'!C63</f>
        <v>100</v>
      </c>
      <c r="D63" s="113">
        <f>D36/$C$36*100</f>
        <v>29.415169293099357</v>
      </c>
      <c r="E63" s="113">
        <f>E36/$C$36*100</f>
        <v>41.28278656178475</v>
      </c>
      <c r="F63" s="113">
        <f>F36/$C$36*100</f>
        <v>13.322459288100811</v>
      </c>
      <c r="G63" s="145">
        <f>G36/$C$36*100</f>
        <v>14.277446002472969</v>
      </c>
      <c r="H63" s="17"/>
    </row>
    <row r="64" spans="2:8" ht="15" customHeight="1">
      <c r="B64" s="273">
        <v>2010</v>
      </c>
      <c r="C64" s="45">
        <f>+'C-DE-8 VenEnerElecXSer,70-21'!C64</f>
        <v>100</v>
      </c>
      <c r="D64" s="25">
        <f>D46/$C$46*100</f>
        <v>31.672683513838752</v>
      </c>
      <c r="E64" s="25">
        <f>E46/$C$46*100</f>
        <v>41.82270356999599</v>
      </c>
      <c r="F64" s="25">
        <f>F46/$C$46*100</f>
        <v>7.553951062976334</v>
      </c>
      <c r="G64" s="43">
        <f>G46/$C$46*100</f>
        <v>12.040112314480545</v>
      </c>
      <c r="H64" s="17"/>
    </row>
    <row r="65" spans="2:8" ht="15" customHeight="1" thickBot="1">
      <c r="B65" s="331">
        <v>2021</v>
      </c>
      <c r="C65" s="231">
        <f>+'C-DE-8 VenEnerElecXSer,70-21'!C65</f>
        <v>99.99999999999999</v>
      </c>
      <c r="D65" s="329">
        <f>D57/$C$57*100</f>
        <v>34.275983073588606</v>
      </c>
      <c r="E65" s="329">
        <f>E57/$C$57*100</f>
        <v>32.65558881205491</v>
      </c>
      <c r="F65" s="329">
        <f>F57/$C$57*100</f>
        <v>1.776241098152544</v>
      </c>
      <c r="G65" s="330">
        <f>G57/$C$57*100</f>
        <v>11.023841469707914</v>
      </c>
      <c r="H65" s="17"/>
    </row>
    <row r="66" spans="2:8" ht="15" customHeight="1" thickBot="1">
      <c r="B66" s="21"/>
      <c r="C66" s="17"/>
      <c r="D66" s="17"/>
      <c r="E66" s="17"/>
      <c r="F66" s="17"/>
      <c r="G66" s="17"/>
      <c r="H66" s="17"/>
    </row>
    <row r="67" spans="2:8" ht="24.75" customHeight="1" thickBot="1">
      <c r="B67" s="494" t="s">
        <v>75</v>
      </c>
      <c r="C67" s="498"/>
      <c r="D67" s="498"/>
      <c r="E67" s="498"/>
      <c r="F67" s="498"/>
      <c r="G67" s="499"/>
      <c r="H67" s="17"/>
    </row>
    <row r="68" spans="2:8" ht="15" customHeight="1">
      <c r="B68" s="321" t="s">
        <v>91</v>
      </c>
      <c r="C68" s="44">
        <f>'C-DE-8 VenEnerElecXSer,70-21'!C68</f>
        <v>7.561153186435822</v>
      </c>
      <c r="D68" s="23">
        <f>RATE(10,,-D6,D16)*100</f>
        <v>8.142841336603674</v>
      </c>
      <c r="E68" s="23">
        <f>RATE(10,,-E6,E16)*100</f>
        <v>7.973872926209788</v>
      </c>
      <c r="F68" s="23">
        <f>RATE(10,,-F6,F16)*100</f>
        <v>6.723137525194731</v>
      </c>
      <c r="G68" s="42">
        <f>RATE(10,,-G6,G16)*100</f>
        <v>15.001379819840576</v>
      </c>
      <c r="H68" s="17"/>
    </row>
    <row r="69" spans="2:8" ht="15" customHeight="1">
      <c r="B69" s="322" t="s">
        <v>92</v>
      </c>
      <c r="C69" s="45">
        <f>'C-DE-8 VenEnerElecXSer,70-21'!C69</f>
        <v>3.380651258322309</v>
      </c>
      <c r="D69" s="25">
        <f>RATE(10,,-D16,D26)*100</f>
        <v>3.3814863424606054</v>
      </c>
      <c r="E69" s="25">
        <f>RATE(10,,-E16,E26)*100</f>
        <v>2.832367802903144</v>
      </c>
      <c r="F69" s="25">
        <f>RATE(10,,-F16,F26)*100</f>
        <v>4.134208856202688</v>
      </c>
      <c r="G69" s="43">
        <f>RATE(10,,-G16,G26)*100</f>
        <v>2.3492317705944314</v>
      </c>
      <c r="H69" s="17"/>
    </row>
    <row r="70" spans="2:8" ht="15" customHeight="1">
      <c r="B70" s="322" t="s">
        <v>41</v>
      </c>
      <c r="C70" s="45">
        <f>'C-DE-8 VenEnerElecXSer,70-21'!C70</f>
        <v>6.3535606991763665</v>
      </c>
      <c r="D70" s="25">
        <f>RATE(10,,-D26,D36)*100</f>
        <v>5.782462548302006</v>
      </c>
      <c r="E70" s="25">
        <f>RATE(10,,-E26,E36)*100</f>
        <v>9.492989390033035</v>
      </c>
      <c r="F70" s="25">
        <f>RATE(10,,-F26,F36)*100</f>
        <v>6.237992640891338</v>
      </c>
      <c r="G70" s="43">
        <f>RATE(10,,-G26,G36)*100</f>
        <v>4.344572312663169</v>
      </c>
      <c r="H70" s="17"/>
    </row>
    <row r="71" spans="2:8" ht="15" customHeight="1">
      <c r="B71" s="322" t="s">
        <v>146</v>
      </c>
      <c r="C71" s="45">
        <f>'C-DE-8 VenEnerElecXSer,70-21'!C71</f>
        <v>5.069169432944656</v>
      </c>
      <c r="D71" s="25">
        <f>RATE(10,,-D36,D46)*100</f>
        <v>5.848973354315228</v>
      </c>
      <c r="E71" s="25">
        <f>RATE(10,,-E36,E46)*100</f>
        <v>5.205782072988828</v>
      </c>
      <c r="F71" s="25">
        <f>RATE(10,,-F36,F46)*100</f>
        <v>-0.7262846671323226</v>
      </c>
      <c r="G71" s="43">
        <f>RATE(10,,-G36,G46)*100</f>
        <v>3.293573031460261</v>
      </c>
      <c r="H71" s="17"/>
    </row>
    <row r="72" spans="2:8" ht="15" customHeight="1" thickBot="1">
      <c r="B72" s="341" t="s">
        <v>192</v>
      </c>
      <c r="C72" s="231">
        <f>'C-DE-8 VenEnerElecXSer,70-21'!C72</f>
        <v>4.092561838357427</v>
      </c>
      <c r="D72" s="27">
        <f>RATE(11,,-D46,D57)*100</f>
        <v>4.842734303315485</v>
      </c>
      <c r="E72" s="27">
        <f>RATE(11,,-E46,E57)*100</f>
        <v>1.777340550107892</v>
      </c>
      <c r="F72" s="27">
        <f>RATE(11,,-F46,F57)*100</f>
        <v>-8.742687623768001</v>
      </c>
      <c r="G72" s="28">
        <f>RATE(11,,-G46,G57)*100</f>
        <v>3.261421452351275</v>
      </c>
      <c r="H72" s="17"/>
    </row>
    <row r="73" spans="2:8" ht="15" customHeight="1">
      <c r="B73" s="33"/>
      <c r="C73" s="19"/>
      <c r="D73" s="19"/>
      <c r="E73" s="19"/>
      <c r="F73" s="19"/>
      <c r="G73" s="19"/>
      <c r="H73" s="17"/>
    </row>
    <row r="74" spans="2:8" s="4" customFormat="1" ht="15" customHeight="1">
      <c r="B74" s="198"/>
      <c r="C74" s="199"/>
      <c r="D74" s="199"/>
      <c r="E74" s="199"/>
      <c r="F74" s="199"/>
      <c r="G74" s="199"/>
      <c r="H74" s="5"/>
    </row>
    <row r="75" spans="2:8" s="4" customFormat="1" ht="15" customHeight="1">
      <c r="B75" s="198"/>
      <c r="C75" s="199"/>
      <c r="D75" s="199"/>
      <c r="E75" s="199"/>
      <c r="F75" s="199"/>
      <c r="G75" s="199"/>
      <c r="H75" s="5"/>
    </row>
  </sheetData>
  <sheetProtection/>
  <mergeCells count="6">
    <mergeCell ref="B59:G59"/>
    <mergeCell ref="B67:G67"/>
    <mergeCell ref="B1:G1"/>
    <mergeCell ref="B2:G2"/>
    <mergeCell ref="B3:G3"/>
    <mergeCell ref="B4:G4"/>
  </mergeCells>
  <printOptions horizontalCentered="1" verticalCentered="1"/>
  <pageMargins left="0.7874015748031497" right="0.3937007874015748" top="0.3937007874015748" bottom="0.7874015748031497" header="0" footer="0"/>
  <pageSetup fitToHeight="1" fitToWidth="1" horizontalDpi="300" verticalDpi="300" orientation="portrait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I76"/>
  <sheetViews>
    <sheetView zoomScalePageLayoutView="0" workbookViewId="0" topLeftCell="A1">
      <selection activeCell="I71" sqref="I71"/>
    </sheetView>
  </sheetViews>
  <sheetFormatPr defaultColWidth="21.8515625" defaultRowHeight="15" customHeight="1"/>
  <cols>
    <col min="1" max="1" width="2.7109375" style="13" customWidth="1"/>
    <col min="2" max="2" width="15.7109375" style="15" customWidth="1"/>
    <col min="3" max="7" width="15.7109375" style="13" customWidth="1"/>
    <col min="8" max="16384" width="21.8515625" style="13" customWidth="1"/>
  </cols>
  <sheetData>
    <row r="1" spans="2:8" ht="15" customHeight="1">
      <c r="B1" s="479" t="s">
        <v>30</v>
      </c>
      <c r="C1" s="479"/>
      <c r="D1" s="479"/>
      <c r="E1" s="479"/>
      <c r="F1" s="479"/>
      <c r="G1" s="479"/>
      <c r="H1" s="17"/>
    </row>
    <row r="2" spans="2:8" ht="15" customHeight="1">
      <c r="B2" s="479" t="s">
        <v>85</v>
      </c>
      <c r="C2" s="479"/>
      <c r="D2" s="479"/>
      <c r="E2" s="479"/>
      <c r="F2" s="479"/>
      <c r="G2" s="479"/>
      <c r="H2" s="17"/>
    </row>
    <row r="3" spans="2:8" ht="15" customHeight="1">
      <c r="B3" s="479" t="s">
        <v>191</v>
      </c>
      <c r="C3" s="479"/>
      <c r="D3" s="479"/>
      <c r="E3" s="479"/>
      <c r="F3" s="479"/>
      <c r="G3" s="479"/>
      <c r="H3" s="17"/>
    </row>
    <row r="4" spans="2:8" ht="15" customHeight="1" thickBot="1">
      <c r="B4" s="479" t="s">
        <v>44</v>
      </c>
      <c r="C4" s="479"/>
      <c r="D4" s="479"/>
      <c r="E4" s="479"/>
      <c r="F4" s="479"/>
      <c r="G4" s="479"/>
      <c r="H4" s="17"/>
    </row>
    <row r="5" spans="2:8" s="14" customFormat="1" ht="45" customHeight="1" thickBot="1">
      <c r="B5" s="311" t="s">
        <v>46</v>
      </c>
      <c r="C5" s="312" t="s">
        <v>27</v>
      </c>
      <c r="D5" s="313" t="s">
        <v>94</v>
      </c>
      <c r="E5" s="313" t="s">
        <v>96</v>
      </c>
      <c r="F5" s="313" t="s">
        <v>1</v>
      </c>
      <c r="G5" s="314" t="s">
        <v>0</v>
      </c>
      <c r="H5" s="39"/>
    </row>
    <row r="6" spans="2:8" ht="15" customHeight="1">
      <c r="B6" s="272">
        <v>1970</v>
      </c>
      <c r="C6" s="44">
        <f>'C-DE-8 VenEnerElecXSer,70-21'!C6</f>
        <v>710.3000000000001</v>
      </c>
      <c r="D6" s="23">
        <v>14</v>
      </c>
      <c r="E6" s="23">
        <v>8.7</v>
      </c>
      <c r="F6" s="23">
        <v>7</v>
      </c>
      <c r="G6" s="42">
        <v>83.5</v>
      </c>
      <c r="H6" s="17"/>
    </row>
    <row r="7" spans="2:8" ht="15" customHeight="1">
      <c r="B7" s="273">
        <v>1971</v>
      </c>
      <c r="C7" s="45">
        <f>'C-DE-8 VenEnerElecXSer,70-21'!C7</f>
        <v>775.4000000000001</v>
      </c>
      <c r="D7" s="25">
        <v>16.2</v>
      </c>
      <c r="E7" s="25">
        <v>9.4</v>
      </c>
      <c r="F7" s="25">
        <v>7.5</v>
      </c>
      <c r="G7" s="43">
        <v>51.7</v>
      </c>
      <c r="H7" s="17"/>
    </row>
    <row r="8" spans="2:8" ht="15" customHeight="1">
      <c r="B8" s="273">
        <v>1972</v>
      </c>
      <c r="C8" s="45">
        <f>'C-DE-8 VenEnerElecXSer,70-21'!C8</f>
        <v>869.8000000000002</v>
      </c>
      <c r="D8" s="25">
        <v>18.7</v>
      </c>
      <c r="E8" s="25">
        <v>9.1</v>
      </c>
      <c r="F8" s="25">
        <v>10.1</v>
      </c>
      <c r="G8" s="43">
        <v>39.1</v>
      </c>
      <c r="H8" s="17"/>
    </row>
    <row r="9" spans="2:8" ht="15" customHeight="1">
      <c r="B9" s="273">
        <v>1973</v>
      </c>
      <c r="C9" s="45">
        <f>'C-DE-8 VenEnerElecXSer,70-21'!C9</f>
        <v>983.9999999999999</v>
      </c>
      <c r="D9" s="25">
        <v>18.7</v>
      </c>
      <c r="E9" s="25">
        <v>8.6</v>
      </c>
      <c r="F9" s="25">
        <v>7.3</v>
      </c>
      <c r="G9" s="43">
        <v>69.3</v>
      </c>
      <c r="H9" s="17"/>
    </row>
    <row r="10" spans="2:8" ht="15" customHeight="1">
      <c r="B10" s="273">
        <v>1974</v>
      </c>
      <c r="C10" s="45">
        <f>'C-DE-8 VenEnerElecXSer,70-21'!C10</f>
        <v>980.7</v>
      </c>
      <c r="D10" s="25">
        <v>19</v>
      </c>
      <c r="E10" s="25">
        <v>3.5</v>
      </c>
      <c r="F10" s="25">
        <v>11</v>
      </c>
      <c r="G10" s="43">
        <v>18.4</v>
      </c>
      <c r="H10" s="17"/>
    </row>
    <row r="11" spans="2:8" ht="15" customHeight="1">
      <c r="B11" s="273">
        <v>1975</v>
      </c>
      <c r="C11" s="45">
        <f>'C-DE-8 VenEnerElecXSer,70-21'!C11</f>
        <v>1041.0000000000002</v>
      </c>
      <c r="D11" s="25">
        <v>19.9</v>
      </c>
      <c r="E11" s="25">
        <v>4.1</v>
      </c>
      <c r="F11" s="25">
        <v>14.3</v>
      </c>
      <c r="G11" s="43">
        <v>14.7</v>
      </c>
      <c r="H11" s="17"/>
    </row>
    <row r="12" spans="2:8" ht="15" customHeight="1">
      <c r="B12" s="273">
        <v>1976</v>
      </c>
      <c r="C12" s="45">
        <f>'C-DE-8 VenEnerElecXSer,70-21'!C12</f>
        <v>1143.0999999999997</v>
      </c>
      <c r="D12" s="25">
        <v>20.8</v>
      </c>
      <c r="E12" s="25">
        <v>4.6</v>
      </c>
      <c r="F12" s="25">
        <v>14.6</v>
      </c>
      <c r="G12" s="43">
        <v>38.6</v>
      </c>
      <c r="H12" s="17"/>
    </row>
    <row r="13" spans="2:8" ht="15" customHeight="1">
      <c r="B13" s="273">
        <v>1977</v>
      </c>
      <c r="C13" s="45">
        <f>'C-DE-8 VenEnerElecXSer,70-21'!C13</f>
        <v>1260.1000000000001</v>
      </c>
      <c r="D13" s="25">
        <v>22.9</v>
      </c>
      <c r="E13" s="25">
        <v>5.2</v>
      </c>
      <c r="F13" s="25">
        <v>14.7</v>
      </c>
      <c r="G13" s="43">
        <v>93.8</v>
      </c>
      <c r="H13" s="17"/>
    </row>
    <row r="14" spans="2:8" ht="15" customHeight="1">
      <c r="B14" s="273">
        <v>1978</v>
      </c>
      <c r="C14" s="45">
        <f>'C-DE-8 VenEnerElecXSer,70-21'!C14</f>
        <v>1268.1999999999998</v>
      </c>
      <c r="D14" s="25">
        <v>23.8</v>
      </c>
      <c r="E14" s="25">
        <v>7.5</v>
      </c>
      <c r="F14" s="25">
        <v>15.6</v>
      </c>
      <c r="G14" s="43">
        <v>23.1</v>
      </c>
      <c r="H14" s="17"/>
    </row>
    <row r="15" spans="2:8" ht="15" customHeight="1">
      <c r="B15" s="273">
        <v>1979</v>
      </c>
      <c r="C15" s="45">
        <f>'C-DE-8 VenEnerElecXSer,70-21'!C15</f>
        <v>1480.9</v>
      </c>
      <c r="D15" s="25">
        <v>25.8</v>
      </c>
      <c r="E15" s="25">
        <v>9.4</v>
      </c>
      <c r="F15" s="25">
        <v>16</v>
      </c>
      <c r="G15" s="43">
        <v>128</v>
      </c>
      <c r="H15" s="17"/>
    </row>
    <row r="16" spans="2:8" ht="15" customHeight="1">
      <c r="B16" s="273">
        <v>1980</v>
      </c>
      <c r="C16" s="45">
        <f>'C-DE-8 VenEnerElecXSer,70-21'!C16</f>
        <v>1472.3000000000002</v>
      </c>
      <c r="D16" s="25">
        <v>31</v>
      </c>
      <c r="E16" s="25">
        <v>9.6</v>
      </c>
      <c r="F16" s="25">
        <v>13.9</v>
      </c>
      <c r="G16" s="43">
        <v>16</v>
      </c>
      <c r="H16" s="17"/>
    </row>
    <row r="17" spans="2:8" ht="15" customHeight="1">
      <c r="B17" s="273">
        <v>1981</v>
      </c>
      <c r="C17" s="45">
        <f>'C-DE-8 VenEnerElecXSer,70-21'!C17</f>
        <v>1554.3</v>
      </c>
      <c r="D17" s="25">
        <v>32.8</v>
      </c>
      <c r="E17" s="25">
        <v>10.8</v>
      </c>
      <c r="F17" s="25">
        <v>15.8</v>
      </c>
      <c r="G17" s="43">
        <v>46.5</v>
      </c>
      <c r="H17" s="17"/>
    </row>
    <row r="18" spans="2:8" ht="15" customHeight="1">
      <c r="B18" s="273">
        <v>1982</v>
      </c>
      <c r="C18" s="45">
        <f>'C-DE-8 VenEnerElecXSer,70-21'!C18</f>
        <v>1674.8</v>
      </c>
      <c r="D18" s="25">
        <v>34.7</v>
      </c>
      <c r="E18" s="25">
        <v>12.3</v>
      </c>
      <c r="F18" s="25">
        <v>16.1</v>
      </c>
      <c r="G18" s="43">
        <v>51.4</v>
      </c>
      <c r="H18" s="17"/>
    </row>
    <row r="19" spans="2:8" ht="15" customHeight="1">
      <c r="B19" s="273">
        <v>1983</v>
      </c>
      <c r="C19" s="45">
        <f>'C-DE-8 VenEnerElecXSer,70-21'!C19</f>
        <v>1850.6</v>
      </c>
      <c r="D19" s="25">
        <v>36.8</v>
      </c>
      <c r="E19" s="25">
        <v>12.7</v>
      </c>
      <c r="F19" s="25">
        <v>16.5</v>
      </c>
      <c r="G19" s="43">
        <v>132.8</v>
      </c>
      <c r="H19" s="17"/>
    </row>
    <row r="20" spans="2:8" ht="15" customHeight="1">
      <c r="B20" s="273">
        <v>1984</v>
      </c>
      <c r="C20" s="45">
        <f>'C-DE-8 VenEnerElecXSer,70-21'!C20</f>
        <v>1816.5000000000002</v>
      </c>
      <c r="D20" s="25">
        <v>37.1</v>
      </c>
      <c r="E20" s="25">
        <v>12.4</v>
      </c>
      <c r="F20" s="25">
        <v>17</v>
      </c>
      <c r="G20" s="43">
        <v>98.8</v>
      </c>
      <c r="H20" s="17"/>
    </row>
    <row r="21" spans="2:8" ht="15" customHeight="1">
      <c r="B21" s="273">
        <v>1985</v>
      </c>
      <c r="C21" s="45">
        <f>'C-DE-8 VenEnerElecXSer,70-21'!C21</f>
        <v>1944.1000000000004</v>
      </c>
      <c r="D21" s="25">
        <v>37.7</v>
      </c>
      <c r="E21" s="25">
        <v>12.7</v>
      </c>
      <c r="F21" s="25">
        <v>17</v>
      </c>
      <c r="G21" s="43">
        <v>104.9</v>
      </c>
      <c r="H21" s="17"/>
    </row>
    <row r="22" spans="2:8" ht="15" customHeight="1">
      <c r="B22" s="273">
        <v>1986</v>
      </c>
      <c r="C22" s="45">
        <f>'C-DE-8 VenEnerElecXSer,70-21'!C22</f>
        <v>2045.0999999999997</v>
      </c>
      <c r="D22" s="25">
        <v>39.3</v>
      </c>
      <c r="E22" s="25">
        <v>12.9</v>
      </c>
      <c r="F22" s="25">
        <v>16.3</v>
      </c>
      <c r="G22" s="43">
        <v>91.8</v>
      </c>
      <c r="H22" s="17"/>
    </row>
    <row r="23" spans="2:8" ht="15" customHeight="1">
      <c r="B23" s="273">
        <v>1987</v>
      </c>
      <c r="C23" s="45">
        <f>'C-DE-8 VenEnerElecXSer,70-21'!C23</f>
        <v>2191.1</v>
      </c>
      <c r="D23" s="25">
        <v>41.2</v>
      </c>
      <c r="E23" s="25">
        <v>13.3</v>
      </c>
      <c r="F23" s="25">
        <v>18.9</v>
      </c>
      <c r="G23" s="43">
        <v>91</v>
      </c>
      <c r="H23" s="17"/>
    </row>
    <row r="24" spans="2:8" ht="15" customHeight="1">
      <c r="B24" s="273">
        <v>1988</v>
      </c>
      <c r="C24" s="45">
        <f>'C-DE-8 VenEnerElecXSer,70-21'!C24</f>
        <v>2063.1</v>
      </c>
      <c r="D24" s="25">
        <v>42.3</v>
      </c>
      <c r="E24" s="25">
        <v>12.9</v>
      </c>
      <c r="F24" s="25">
        <v>20</v>
      </c>
      <c r="G24" s="43">
        <v>116.8</v>
      </c>
      <c r="H24" s="17"/>
    </row>
    <row r="25" spans="2:8" ht="15" customHeight="1">
      <c r="B25" s="273">
        <v>1989</v>
      </c>
      <c r="C25" s="45">
        <f>'C-DE-8 VenEnerElecXSer,70-21'!C25</f>
        <v>1983.6000000000004</v>
      </c>
      <c r="D25" s="25">
        <v>43</v>
      </c>
      <c r="E25" s="25">
        <v>12.8</v>
      </c>
      <c r="F25" s="25">
        <v>20.9</v>
      </c>
      <c r="G25" s="43">
        <v>71</v>
      </c>
      <c r="H25" s="17"/>
    </row>
    <row r="26" spans="2:8" ht="15" customHeight="1">
      <c r="B26" s="273">
        <v>1990</v>
      </c>
      <c r="C26" s="45">
        <f>'C-DE-8 VenEnerElecXSer,70-21'!C26</f>
        <v>2053</v>
      </c>
      <c r="D26" s="25">
        <v>44.1</v>
      </c>
      <c r="E26" s="25">
        <v>12.4</v>
      </c>
      <c r="F26" s="25">
        <v>22.2</v>
      </c>
      <c r="G26" s="43">
        <v>72.2</v>
      </c>
      <c r="H26" s="17"/>
    </row>
    <row r="27" spans="2:8" ht="15" customHeight="1">
      <c r="B27" s="273">
        <v>1991</v>
      </c>
      <c r="C27" s="45">
        <f>'C-DE-8 VenEnerElecXSer,70-21'!C27</f>
        <v>2185.8999999999996</v>
      </c>
      <c r="D27" s="25">
        <v>45.1</v>
      </c>
      <c r="E27" s="25">
        <v>12.5</v>
      </c>
      <c r="F27" s="25">
        <v>22.1</v>
      </c>
      <c r="G27" s="43">
        <v>59</v>
      </c>
      <c r="H27" s="17"/>
    </row>
    <row r="28" spans="2:8" ht="15" customHeight="1">
      <c r="B28" s="273">
        <v>1992</v>
      </c>
      <c r="C28" s="45">
        <f>'C-DE-8 VenEnerElecXSer,70-21'!C28</f>
        <v>2311.4</v>
      </c>
      <c r="D28" s="25">
        <v>45.5</v>
      </c>
      <c r="E28" s="25">
        <v>13.1</v>
      </c>
      <c r="F28" s="25">
        <v>21.6</v>
      </c>
      <c r="G28" s="43">
        <v>26.8</v>
      </c>
      <c r="H28" s="17"/>
    </row>
    <row r="29" spans="2:8" ht="15" customHeight="1">
      <c r="B29" s="273">
        <v>1993</v>
      </c>
      <c r="C29" s="45">
        <f>'C-DE-8 VenEnerElecXSer,70-21'!C29</f>
        <v>2486.1730000000002</v>
      </c>
      <c r="D29" s="25">
        <v>44.7</v>
      </c>
      <c r="E29" s="25">
        <v>13.3</v>
      </c>
      <c r="F29" s="25">
        <v>20.5</v>
      </c>
      <c r="G29" s="43">
        <v>15.6</v>
      </c>
      <c r="H29" s="17"/>
    </row>
    <row r="30" spans="2:8" ht="15" customHeight="1">
      <c r="B30" s="273">
        <v>1994</v>
      </c>
      <c r="C30" s="45">
        <f>'C-DE-8 VenEnerElecXSer,70-21'!C30</f>
        <v>2671.8549999999996</v>
      </c>
      <c r="D30" s="25">
        <v>44.5</v>
      </c>
      <c r="E30" s="25">
        <v>13.7</v>
      </c>
      <c r="F30" s="25">
        <v>19.8</v>
      </c>
      <c r="G30" s="43">
        <v>46.4</v>
      </c>
      <c r="H30" s="17"/>
    </row>
    <row r="31" spans="2:7" ht="15" customHeight="1">
      <c r="B31" s="273">
        <v>1995</v>
      </c>
      <c r="C31" s="45">
        <f>'C-DE-8 VenEnerElecXSer,70-21'!C31</f>
        <v>2869.593</v>
      </c>
      <c r="D31" s="25">
        <v>52.527</v>
      </c>
      <c r="E31" s="25">
        <v>14.562</v>
      </c>
      <c r="F31" s="25">
        <v>18.404</v>
      </c>
      <c r="G31" s="43">
        <v>12.8</v>
      </c>
    </row>
    <row r="32" spans="2:7" ht="15" customHeight="1">
      <c r="B32" s="273">
        <v>1996</v>
      </c>
      <c r="C32" s="45">
        <f>'C-DE-8 VenEnerElecXSer,70-21'!C32</f>
        <v>2984.014</v>
      </c>
      <c r="D32" s="25">
        <v>60.243</v>
      </c>
      <c r="E32" s="25">
        <v>14.857</v>
      </c>
      <c r="F32" s="25">
        <v>18.219</v>
      </c>
      <c r="G32" s="43">
        <f>46.17-18.219</f>
        <v>27.951</v>
      </c>
    </row>
    <row r="33" spans="2:7" ht="15" customHeight="1">
      <c r="B33" s="273">
        <v>1997</v>
      </c>
      <c r="C33" s="45">
        <f>'C-DE-8 VenEnerElecXSer,70-21'!C33</f>
        <v>3302.0570000000002</v>
      </c>
      <c r="D33" s="25">
        <v>62.832</v>
      </c>
      <c r="E33" s="25">
        <v>23.45</v>
      </c>
      <c r="F33" s="25">
        <v>17.215</v>
      </c>
      <c r="G33" s="43">
        <v>99.9</v>
      </c>
    </row>
    <row r="34" spans="2:7" ht="15" customHeight="1">
      <c r="B34" s="273">
        <v>1998</v>
      </c>
      <c r="C34" s="45">
        <f>'C-DE-8 VenEnerElecXSer,70-21'!C34</f>
        <v>3392.3239999999996</v>
      </c>
      <c r="D34" s="25">
        <v>64.437</v>
      </c>
      <c r="E34" s="25">
        <v>16.7</v>
      </c>
      <c r="F34" s="25">
        <v>0</v>
      </c>
      <c r="G34" s="43">
        <v>0</v>
      </c>
    </row>
    <row r="35" spans="2:7" ht="15" customHeight="1">
      <c r="B35" s="273">
        <v>1999</v>
      </c>
      <c r="C35" s="45">
        <f>'C-DE-8 VenEnerElecXSer,70-21'!C35</f>
        <v>3578</v>
      </c>
      <c r="D35" s="25">
        <v>65.1</v>
      </c>
      <c r="E35" s="25">
        <v>9.4</v>
      </c>
      <c r="F35" s="25">
        <v>0</v>
      </c>
      <c r="G35" s="43">
        <v>0</v>
      </c>
    </row>
    <row r="36" spans="2:7" ht="15" customHeight="1">
      <c r="B36" s="273">
        <v>2000</v>
      </c>
      <c r="C36" s="45">
        <f>'C-DE-8 VenEnerElecXSer,70-21'!C36</f>
        <v>3801.1000000000004</v>
      </c>
      <c r="D36" s="12">
        <v>54.9</v>
      </c>
      <c r="E36" s="25">
        <v>9.6</v>
      </c>
      <c r="F36" s="25">
        <v>0.2</v>
      </c>
      <c r="G36" s="43">
        <v>0</v>
      </c>
    </row>
    <row r="37" spans="2:7" ht="15" customHeight="1">
      <c r="B37" s="319">
        <v>2001</v>
      </c>
      <c r="C37" s="172">
        <f>'C-DE-8 VenEnerElecXSer,70-21'!C37</f>
        <v>3933.8999999999996</v>
      </c>
      <c r="D37" s="170">
        <v>81.2</v>
      </c>
      <c r="E37" s="169">
        <v>10.7</v>
      </c>
      <c r="F37" s="169">
        <v>3.2</v>
      </c>
      <c r="G37" s="171">
        <v>50.2</v>
      </c>
    </row>
    <row r="38" spans="2:7" ht="15" customHeight="1">
      <c r="B38" s="244">
        <v>2002</v>
      </c>
      <c r="C38" s="45">
        <f>'C-DE-8 VenEnerElecXSer,70-21'!C38</f>
        <v>4112.999999999999</v>
      </c>
      <c r="D38" s="12">
        <v>79.2</v>
      </c>
      <c r="E38" s="25">
        <v>9</v>
      </c>
      <c r="F38" s="25">
        <v>10.3</v>
      </c>
      <c r="G38" s="43">
        <v>70.9</v>
      </c>
    </row>
    <row r="39" spans="2:7" ht="15" customHeight="1">
      <c r="B39" s="244">
        <v>2003</v>
      </c>
      <c r="C39" s="45">
        <f>'C-DE-8 VenEnerElecXSer,70-21'!C39</f>
        <v>4306.9</v>
      </c>
      <c r="D39" s="12">
        <v>94.9</v>
      </c>
      <c r="E39" s="25">
        <v>8.6</v>
      </c>
      <c r="F39" s="25">
        <v>2.7</v>
      </c>
      <c r="G39" s="43">
        <v>74.4</v>
      </c>
    </row>
    <row r="40" spans="2:7" ht="15" customHeight="1">
      <c r="B40" s="315">
        <v>2004</v>
      </c>
      <c r="C40" s="172">
        <f>'C-DE-8 VenEnerElecXSer,70-21'!C40</f>
        <v>4595.2</v>
      </c>
      <c r="D40" s="170">
        <v>106.8</v>
      </c>
      <c r="E40" s="169">
        <v>5</v>
      </c>
      <c r="F40" s="169">
        <v>7.7</v>
      </c>
      <c r="G40" s="171">
        <v>99.2</v>
      </c>
    </row>
    <row r="41" spans="2:7" ht="15" customHeight="1">
      <c r="B41" s="284">
        <v>2005</v>
      </c>
      <c r="C41" s="112">
        <f>'C-DE-8 VenEnerElecXSer,70-21'!C41</f>
        <v>4780.799999999998</v>
      </c>
      <c r="D41" s="223">
        <v>110.2</v>
      </c>
      <c r="E41" s="113">
        <v>4.9</v>
      </c>
      <c r="F41" s="113">
        <v>7.5</v>
      </c>
      <c r="G41" s="145">
        <v>86.9</v>
      </c>
    </row>
    <row r="42" spans="2:7" ht="15" customHeight="1">
      <c r="B42" s="284">
        <v>2006</v>
      </c>
      <c r="C42" s="112">
        <f>'C-DE-8 VenEnerElecXSer,70-21'!C42</f>
        <v>4934</v>
      </c>
      <c r="D42" s="12">
        <v>116.5</v>
      </c>
      <c r="E42" s="12" t="s">
        <v>140</v>
      </c>
      <c r="F42" s="25">
        <v>3.7</v>
      </c>
      <c r="G42" s="43">
        <v>48.8</v>
      </c>
    </row>
    <row r="43" spans="2:7" ht="15" customHeight="1">
      <c r="B43" s="284">
        <v>2007</v>
      </c>
      <c r="C43" s="112">
        <f>'C-DE-8 VenEnerElecXSer,70-21'!C43</f>
        <v>5297.9</v>
      </c>
      <c r="D43" s="170">
        <v>120</v>
      </c>
      <c r="E43" s="170" t="s">
        <v>140</v>
      </c>
      <c r="F43" s="169">
        <v>3.7</v>
      </c>
      <c r="G43" s="171">
        <v>51.5</v>
      </c>
    </row>
    <row r="44" spans="2:7" ht="15" customHeight="1">
      <c r="B44" s="244">
        <v>2008</v>
      </c>
      <c r="C44" s="45">
        <f>'C-DE-8 VenEnerElecXSer,70-21'!C44</f>
        <v>5462.100000000001</v>
      </c>
      <c r="D44" s="12">
        <v>125.1</v>
      </c>
      <c r="E44" s="12">
        <v>7.1</v>
      </c>
      <c r="F44" s="25">
        <v>9.6</v>
      </c>
      <c r="G44" s="43">
        <v>54.2</v>
      </c>
    </row>
    <row r="45" spans="2:7" ht="15" customHeight="1">
      <c r="B45" s="244">
        <v>2009</v>
      </c>
      <c r="C45" s="45">
        <f>'C-DE-8 VenEnerElecXSer,70-21'!C45</f>
        <v>5737.999999999999</v>
      </c>
      <c r="D45" s="12">
        <v>128.5</v>
      </c>
      <c r="E45" s="12">
        <v>4.8</v>
      </c>
      <c r="F45" s="25">
        <v>2.9</v>
      </c>
      <c r="G45" s="43">
        <v>80.5</v>
      </c>
    </row>
    <row r="46" spans="2:7" ht="15" customHeight="1">
      <c r="B46" s="244">
        <v>2010</v>
      </c>
      <c r="C46" s="45">
        <f>'C-DE-8 VenEnerElecXSer,70-21'!C46</f>
        <v>6232.5</v>
      </c>
      <c r="D46" s="12">
        <v>131.7</v>
      </c>
      <c r="E46" s="12">
        <v>4.6</v>
      </c>
      <c r="F46" s="25">
        <v>2.7</v>
      </c>
      <c r="G46" s="43">
        <v>291.7</v>
      </c>
    </row>
    <row r="47" spans="2:7" ht="15" customHeight="1">
      <c r="B47" s="244">
        <v>2011</v>
      </c>
      <c r="C47" s="45">
        <f>'C-DE-8 VenEnerElecXSer,70-21'!C47</f>
        <v>6599.800000000001</v>
      </c>
      <c r="D47" s="12">
        <v>136.1</v>
      </c>
      <c r="E47" s="12">
        <v>4.7</v>
      </c>
      <c r="F47" s="25">
        <v>2.7</v>
      </c>
      <c r="G47" s="43">
        <v>336.8</v>
      </c>
    </row>
    <row r="48" spans="2:7" ht="15" customHeight="1">
      <c r="B48" s="244">
        <v>2012</v>
      </c>
      <c r="C48" s="45">
        <f>'C-DE-8 VenEnerElecXSer,70-21'!C48</f>
        <v>7170.299999999999</v>
      </c>
      <c r="D48" s="12">
        <v>146.9</v>
      </c>
      <c r="E48" s="12">
        <v>5.1</v>
      </c>
      <c r="F48" s="25">
        <v>2.7</v>
      </c>
      <c r="G48" s="43">
        <v>375.2</v>
      </c>
    </row>
    <row r="49" spans="2:7" ht="15" customHeight="1">
      <c r="B49" s="315">
        <v>2013</v>
      </c>
      <c r="C49" s="172">
        <f>'C-DE-8 VenEnerElecXSer,70-21'!C49</f>
        <v>7501.700000000002</v>
      </c>
      <c r="D49" s="170">
        <v>164.3</v>
      </c>
      <c r="E49" s="170">
        <v>5.1</v>
      </c>
      <c r="F49" s="169">
        <v>2.8</v>
      </c>
      <c r="G49" s="171">
        <v>402.3</v>
      </c>
    </row>
    <row r="50" spans="2:7" ht="15" customHeight="1">
      <c r="B50" s="244">
        <v>2014</v>
      </c>
      <c r="C50" s="45">
        <f>'C-DE-8 VenEnerElecXSer,70-21'!C50</f>
        <v>7822.5</v>
      </c>
      <c r="D50" s="12">
        <v>169.5</v>
      </c>
      <c r="E50" s="12">
        <v>5</v>
      </c>
      <c r="F50" s="25">
        <v>2.8</v>
      </c>
      <c r="G50" s="43">
        <v>421.1</v>
      </c>
    </row>
    <row r="51" spans="2:7" ht="15" customHeight="1">
      <c r="B51" s="244">
        <v>2015</v>
      </c>
      <c r="C51" s="45">
        <f>'C-DE-8 VenEnerElecXSer,70-21'!C51</f>
        <v>8368.599999999999</v>
      </c>
      <c r="D51" s="12">
        <v>180.7</v>
      </c>
      <c r="E51" s="12">
        <v>5.4</v>
      </c>
      <c r="F51" s="25">
        <v>2.9</v>
      </c>
      <c r="G51" s="43">
        <v>351.2</v>
      </c>
    </row>
    <row r="52" spans="2:7" ht="15" customHeight="1">
      <c r="B52" s="244">
        <v>2016</v>
      </c>
      <c r="C52" s="45">
        <f>'C-DE-8 VenEnerElecXSer,70-21'!C52</f>
        <v>8588.499999999998</v>
      </c>
      <c r="D52" s="12">
        <v>193.9</v>
      </c>
      <c r="E52" s="12">
        <v>5.5</v>
      </c>
      <c r="F52" s="25">
        <v>3.3</v>
      </c>
      <c r="G52" s="43">
        <v>270.3</v>
      </c>
    </row>
    <row r="53" spans="2:7" ht="15" customHeight="1">
      <c r="B53" s="244">
        <v>2017</v>
      </c>
      <c r="C53" s="45">
        <f>'C-DE-8 VenEnerElecXSer,70-21'!C53</f>
        <v>8896.999999999998</v>
      </c>
      <c r="D53" s="12">
        <v>207.3</v>
      </c>
      <c r="E53" s="12">
        <v>5.3</v>
      </c>
      <c r="F53" s="25">
        <v>4</v>
      </c>
      <c r="G53" s="43">
        <v>422.4</v>
      </c>
    </row>
    <row r="54" spans="2:7" ht="15" customHeight="1">
      <c r="B54" s="320">
        <v>2018</v>
      </c>
      <c r="C54" s="45">
        <f>'C-DE-8 VenEnerElecXSer,70-21'!C54</f>
        <v>9098.9</v>
      </c>
      <c r="D54" s="12">
        <v>217.7</v>
      </c>
      <c r="E54" s="12">
        <v>5.1</v>
      </c>
      <c r="F54" s="25">
        <v>3.1</v>
      </c>
      <c r="G54" s="43">
        <v>671.3</v>
      </c>
    </row>
    <row r="55" spans="2:7" ht="15" customHeight="1">
      <c r="B55" s="284">
        <v>2019</v>
      </c>
      <c r="C55" s="172">
        <f>'C-DE-8 VenEnerElecXSer,70-21'!C55</f>
        <v>9624</v>
      </c>
      <c r="D55" s="170">
        <v>224.8</v>
      </c>
      <c r="E55" s="170">
        <v>5</v>
      </c>
      <c r="F55" s="169">
        <v>2.6</v>
      </c>
      <c r="G55" s="171">
        <v>1141.6</v>
      </c>
    </row>
    <row r="56" spans="2:7" ht="15" customHeight="1">
      <c r="B56" s="284">
        <v>2020</v>
      </c>
      <c r="C56" s="112">
        <f>'C-DE-8 VenEnerElecXSer,70-21'!C56</f>
        <v>8926.7</v>
      </c>
      <c r="D56" s="223">
        <v>235.6</v>
      </c>
      <c r="E56" s="223">
        <v>4.2</v>
      </c>
      <c r="F56" s="113">
        <v>2.6</v>
      </c>
      <c r="G56" s="145">
        <v>1363.9</v>
      </c>
    </row>
    <row r="57" spans="2:7" ht="15" customHeight="1" thickBot="1">
      <c r="B57" s="309">
        <v>2021</v>
      </c>
      <c r="C57" s="46">
        <f>'C-DE-8 VenEnerElecXSer,70-21'!C57</f>
        <v>9689</v>
      </c>
      <c r="D57" s="445">
        <v>243.9</v>
      </c>
      <c r="E57" s="445">
        <v>4.4</v>
      </c>
      <c r="F57" s="27">
        <v>2.6</v>
      </c>
      <c r="G57" s="28">
        <v>1712.9</v>
      </c>
    </row>
    <row r="58" spans="2:8" ht="15" customHeight="1" thickBot="1">
      <c r="B58" s="21"/>
      <c r="C58" s="17"/>
      <c r="D58" s="32"/>
      <c r="E58" s="17"/>
      <c r="F58" s="17"/>
      <c r="G58" s="17"/>
      <c r="H58" s="17"/>
    </row>
    <row r="59" spans="2:8" ht="24.75" customHeight="1" thickBot="1">
      <c r="B59" s="497" t="s">
        <v>73</v>
      </c>
      <c r="C59" s="498"/>
      <c r="D59" s="498"/>
      <c r="E59" s="498"/>
      <c r="F59" s="498"/>
      <c r="G59" s="499"/>
      <c r="H59" s="17"/>
    </row>
    <row r="60" spans="2:8" ht="15" customHeight="1">
      <c r="B60" s="277">
        <v>1970</v>
      </c>
      <c r="C60" s="22">
        <f>'C-DE-8 VenEnerElecXSer,70-21'!C60</f>
        <v>99.99999999999997</v>
      </c>
      <c r="D60" s="23">
        <f>D6/$C$6*100</f>
        <v>1.9709981697874135</v>
      </c>
      <c r="E60" s="23">
        <f>E6/$C$6*100</f>
        <v>1.2248345769393212</v>
      </c>
      <c r="F60" s="23">
        <f>F6/$C$6*100</f>
        <v>0.9854990848937067</v>
      </c>
      <c r="G60" s="42">
        <f>G6/$C$6*100</f>
        <v>11.75559622694636</v>
      </c>
      <c r="H60" s="17"/>
    </row>
    <row r="61" spans="2:8" ht="15" customHeight="1">
      <c r="B61" s="244">
        <v>1980</v>
      </c>
      <c r="C61" s="24">
        <f>'C-DE-8 VenEnerElecXSer,70-21'!C61</f>
        <v>99.99999999999999</v>
      </c>
      <c r="D61" s="25">
        <f>D16/$C$16*100</f>
        <v>2.1055491408001084</v>
      </c>
      <c r="E61" s="25">
        <f>E16/$C$16*100</f>
        <v>0.6520410242477754</v>
      </c>
      <c r="F61" s="25">
        <f>F16/$C$16*100</f>
        <v>0.9441010663587583</v>
      </c>
      <c r="G61" s="43">
        <f>G16/$C$16*100</f>
        <v>1.0867350404129592</v>
      </c>
      <c r="H61" s="17"/>
    </row>
    <row r="62" spans="2:8" ht="15" customHeight="1">
      <c r="B62" s="244">
        <v>1990</v>
      </c>
      <c r="C62" s="24">
        <f>'C-DE-8 VenEnerElecXSer,70-21'!C62</f>
        <v>99.99999999999999</v>
      </c>
      <c r="D62" s="25">
        <f>D26/$C$26*100</f>
        <v>2.1480759863614223</v>
      </c>
      <c r="E62" s="25">
        <f>E26/$C$26*100</f>
        <v>0.6039941548952752</v>
      </c>
      <c r="F62" s="25">
        <f>F26/$C$26*100</f>
        <v>1.0813443740867024</v>
      </c>
      <c r="G62" s="43">
        <f>G26/$C$26*100</f>
        <v>3.5168046760837797</v>
      </c>
      <c r="H62" s="17"/>
    </row>
    <row r="63" spans="2:8" ht="15" customHeight="1">
      <c r="B63" s="244">
        <v>2000</v>
      </c>
      <c r="C63" s="24">
        <f>'C-DE-8 VenEnerElecXSer,70-21'!C63</f>
        <v>100</v>
      </c>
      <c r="D63" s="25">
        <f>D36/$C$36*100</f>
        <v>1.4443187498355736</v>
      </c>
      <c r="E63" s="25">
        <f>E36/$C$36*100</f>
        <v>0.2525584699166031</v>
      </c>
      <c r="F63" s="25">
        <f>F36/$C$36*100</f>
        <v>0.005261634789929231</v>
      </c>
      <c r="G63" s="43">
        <f>G36/$C$36*100</f>
        <v>0</v>
      </c>
      <c r="H63" s="17"/>
    </row>
    <row r="64" spans="2:8" ht="15" customHeight="1">
      <c r="B64" s="244">
        <v>2010</v>
      </c>
      <c r="C64" s="24">
        <f>'C-DE-8 VenEnerElecXSer,70-21'!C64</f>
        <v>100</v>
      </c>
      <c r="D64" s="25">
        <f>D46/$C$46*100</f>
        <v>2.113116726835138</v>
      </c>
      <c r="E64" s="25">
        <f>E46/$C$46*100</f>
        <v>0.07380665864420376</v>
      </c>
      <c r="F64" s="25">
        <f>F46/$C$46*100</f>
        <v>0.043321299638989175</v>
      </c>
      <c r="G64" s="43">
        <f>G46/$C$46*100</f>
        <v>4.6803048535900516</v>
      </c>
      <c r="H64" s="17"/>
    </row>
    <row r="65" spans="2:8" ht="15" customHeight="1" thickBot="1">
      <c r="B65" s="323">
        <v>2021</v>
      </c>
      <c r="C65" s="328">
        <f>'C-DE-8 VenEnerElecXSer,70-21'!C65</f>
        <v>99.99999999999999</v>
      </c>
      <c r="D65" s="329">
        <f>D57/$C$57*100</f>
        <v>2.517287645783879</v>
      </c>
      <c r="E65" s="329">
        <f>E57/$C$57*100</f>
        <v>0.0454123232531737</v>
      </c>
      <c r="F65" s="329">
        <f>F57/$C$57*100</f>
        <v>0.02683455464960264</v>
      </c>
      <c r="G65" s="330">
        <f>G57/$C$57*100</f>
        <v>17.678811022809374</v>
      </c>
      <c r="H65" s="17"/>
    </row>
    <row r="66" spans="2:8" ht="15" customHeight="1" thickBot="1">
      <c r="B66" s="21"/>
      <c r="C66" s="17"/>
      <c r="D66" s="17"/>
      <c r="E66" s="17"/>
      <c r="F66" s="17"/>
      <c r="G66" s="17"/>
      <c r="H66" s="17"/>
    </row>
    <row r="67" spans="2:8" ht="24.75" customHeight="1" thickBot="1">
      <c r="B67" s="494" t="s">
        <v>75</v>
      </c>
      <c r="C67" s="495"/>
      <c r="D67" s="495"/>
      <c r="E67" s="495"/>
      <c r="F67" s="495"/>
      <c r="G67" s="496"/>
      <c r="H67" s="17"/>
    </row>
    <row r="68" spans="2:8" ht="15" customHeight="1">
      <c r="B68" s="316" t="s">
        <v>91</v>
      </c>
      <c r="C68" s="22">
        <f>'C-DE-8 VenEnerElecXSer,70-21'!C68</f>
        <v>7.561153186435822</v>
      </c>
      <c r="D68" s="23">
        <f>RATE(10,,-D6,D16)*100</f>
        <v>8.273796678873742</v>
      </c>
      <c r="E68" s="23">
        <f>RATE(10,,-E6,E16)*100</f>
        <v>0.989261890111085</v>
      </c>
      <c r="F68" s="23">
        <f>RATE(10,,-F6,F16)*100</f>
        <v>7.1005438169154305</v>
      </c>
      <c r="G68" s="42">
        <f>RATE(10,,-G6,G16)*100</f>
        <v>-15.229772103335678</v>
      </c>
      <c r="H68" s="17"/>
    </row>
    <row r="69" spans="2:8" ht="15" customHeight="1">
      <c r="B69" s="317" t="s">
        <v>92</v>
      </c>
      <c r="C69" s="24">
        <f>'C-DE-8 VenEnerElecXSer,70-21'!C69</f>
        <v>3.380651258322309</v>
      </c>
      <c r="D69" s="25">
        <f>RATE(10,,-D16,D26)*100</f>
        <v>3.5875805506807468</v>
      </c>
      <c r="E69" s="25">
        <f>RATE(10,,-E16,E26)*100</f>
        <v>2.59236588635207</v>
      </c>
      <c r="F69" s="25">
        <f>RATE(10,,-F16,F26)*100</f>
        <v>4.79337255017797</v>
      </c>
      <c r="G69" s="43">
        <f>RATE(10,,-G16,G26)*100</f>
        <v>16.263052571999573</v>
      </c>
      <c r="H69" s="17"/>
    </row>
    <row r="70" spans="2:8" ht="15" customHeight="1">
      <c r="B70" s="317" t="s">
        <v>41</v>
      </c>
      <c r="C70" s="24">
        <f>'C-DE-8 VenEnerElecXSer,70-21'!C70</f>
        <v>6.3535606991763665</v>
      </c>
      <c r="D70" s="25">
        <f>RATE(10,,-D26,D36)*100</f>
        <v>2.214704042968413</v>
      </c>
      <c r="E70" s="25">
        <f>RATE(10,,-E26,E36)*100</f>
        <v>-2.52686041874224</v>
      </c>
      <c r="F70" s="25">
        <f>RATE(10,,-F26,F36)*100</f>
        <v>-37.5593087722849</v>
      </c>
      <c r="G70" s="43">
        <f>RATE(10,,-G26,G36)*100</f>
        <v>-99.99987411013713</v>
      </c>
      <c r="H70" s="17"/>
    </row>
    <row r="71" spans="2:8" ht="15" customHeight="1">
      <c r="B71" s="317" t="s">
        <v>146</v>
      </c>
      <c r="C71" s="24">
        <f>'C-DE-8 VenEnerElecXSer,70-21'!C71</f>
        <v>5.069169432944656</v>
      </c>
      <c r="D71" s="25">
        <f>RATE(10,,-D36,D46)*100</f>
        <v>9.144371172275923</v>
      </c>
      <c r="E71" s="25">
        <f>RATE(10,,-E36,E46)*100</f>
        <v>-7.092952276396764</v>
      </c>
      <c r="F71" s="25">
        <f>RATE(10,,-F36,F46)*100</f>
        <v>29.727896698036727</v>
      </c>
      <c r="G71" s="43"/>
      <c r="H71" s="17"/>
    </row>
    <row r="72" spans="2:8" ht="15" customHeight="1" thickBot="1">
      <c r="B72" s="345" t="s">
        <v>192</v>
      </c>
      <c r="C72" s="26">
        <f>'C-DE-8 VenEnerElecXSer,70-21'!C72</f>
        <v>4.092561838357427</v>
      </c>
      <c r="D72" s="27">
        <f>RATE(11,,-D46,D57)*100</f>
        <v>5.761996048511199</v>
      </c>
      <c r="E72" s="27">
        <f>RATE(11,,-E46,E57)*100</f>
        <v>-0.40329151914514455</v>
      </c>
      <c r="F72" s="27">
        <f>RATE(11,,-F46,F57)*100</f>
        <v>-0.3425059961968542</v>
      </c>
      <c r="G72" s="28">
        <f>RATE(11,,-G46,G57)*100</f>
        <v>17.460138148643807</v>
      </c>
      <c r="H72" s="17"/>
    </row>
    <row r="73" spans="2:8" ht="15" customHeight="1">
      <c r="B73" s="33"/>
      <c r="C73" s="19"/>
      <c r="D73" s="19"/>
      <c r="E73" s="19"/>
      <c r="F73" s="19"/>
      <c r="G73" s="19"/>
      <c r="H73" s="17"/>
    </row>
    <row r="74" spans="2:9" s="4" customFormat="1" ht="15" customHeight="1">
      <c r="B74" s="40" t="s">
        <v>42</v>
      </c>
      <c r="C74" s="5"/>
      <c r="D74" s="5"/>
      <c r="E74" s="5"/>
      <c r="F74" s="5"/>
      <c r="G74" s="5"/>
      <c r="H74" s="41"/>
      <c r="I74" s="41"/>
    </row>
    <row r="75" spans="2:9" s="4" customFormat="1" ht="15" customHeight="1">
      <c r="B75" s="500" t="s">
        <v>136</v>
      </c>
      <c r="C75" s="500"/>
      <c r="D75" s="500"/>
      <c r="E75" s="500"/>
      <c r="F75" s="500"/>
      <c r="G75" s="500"/>
      <c r="H75" s="41"/>
      <c r="I75" s="41"/>
    </row>
    <row r="76" spans="2:7" ht="15" customHeight="1">
      <c r="B76" s="500"/>
      <c r="C76" s="500"/>
      <c r="D76" s="500"/>
      <c r="E76" s="500"/>
      <c r="F76" s="500"/>
      <c r="G76" s="500"/>
    </row>
  </sheetData>
  <sheetProtection/>
  <mergeCells count="7">
    <mergeCell ref="B75:G76"/>
    <mergeCell ref="B59:G59"/>
    <mergeCell ref="B1:G1"/>
    <mergeCell ref="B2:G2"/>
    <mergeCell ref="B3:G3"/>
    <mergeCell ref="B4:G4"/>
    <mergeCell ref="B67:G67"/>
  </mergeCells>
  <printOptions horizontalCentered="1" verticalCentered="1"/>
  <pageMargins left="0.7874015748031497" right="0.3937007874015748" top="0.3937007874015748" bottom="0.7874015748031497" header="0" footer="0"/>
  <pageSetup fitToHeight="1" fitToWidth="1" horizontalDpi="300" verticalDpi="300" orientation="portrait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P139"/>
  <sheetViews>
    <sheetView zoomScale="90" zoomScaleNormal="90" zoomScalePageLayoutView="0" workbookViewId="0" topLeftCell="A1">
      <selection activeCell="E21" sqref="E21"/>
    </sheetView>
  </sheetViews>
  <sheetFormatPr defaultColWidth="12.57421875" defaultRowHeight="15" customHeight="1"/>
  <cols>
    <col min="1" max="1" width="2.7109375" style="72" customWidth="1"/>
    <col min="2" max="2" width="38.28125" style="72" customWidth="1"/>
    <col min="3" max="3" width="30.57421875" style="72" customWidth="1"/>
    <col min="4" max="4" width="33.140625" style="72" customWidth="1"/>
    <col min="5" max="5" width="14.421875" style="72" customWidth="1"/>
    <col min="6" max="6" width="33.140625" style="130" customWidth="1"/>
    <col min="7" max="7" width="33.7109375" style="72" customWidth="1"/>
    <col min="8" max="8" width="34.00390625" style="72" customWidth="1"/>
    <col min="9" max="9" width="18.7109375" style="141" customWidth="1"/>
    <col min="10" max="10" width="27.7109375" style="141" customWidth="1"/>
    <col min="11" max="11" width="31.00390625" style="72" customWidth="1"/>
    <col min="12" max="12" width="35.140625" style="72" customWidth="1"/>
    <col min="13" max="13" width="15.7109375" style="72" customWidth="1"/>
    <col min="14" max="16384" width="12.57421875" style="72" customWidth="1"/>
  </cols>
  <sheetData>
    <row r="1" spans="2:8" ht="15" customHeight="1">
      <c r="B1" s="486" t="s">
        <v>31</v>
      </c>
      <c r="C1" s="486"/>
      <c r="D1" s="486"/>
      <c r="F1" s="486" t="s">
        <v>31</v>
      </c>
      <c r="G1" s="486"/>
      <c r="H1" s="486"/>
    </row>
    <row r="2" spans="2:8" ht="15" customHeight="1">
      <c r="B2" s="486" t="s">
        <v>178</v>
      </c>
      <c r="C2" s="486"/>
      <c r="D2" s="486"/>
      <c r="F2" s="486" t="s">
        <v>178</v>
      </c>
      <c r="G2" s="486"/>
      <c r="H2" s="486"/>
    </row>
    <row r="3" spans="2:8" ht="15" customHeight="1">
      <c r="B3" s="486" t="s">
        <v>196</v>
      </c>
      <c r="C3" s="486"/>
      <c r="D3" s="486"/>
      <c r="F3" s="486" t="s">
        <v>195</v>
      </c>
      <c r="G3" s="486"/>
      <c r="H3" s="486"/>
    </row>
    <row r="4" spans="2:8" ht="15" customHeight="1" thickBot="1">
      <c r="B4" s="479"/>
      <c r="C4" s="479"/>
      <c r="D4" s="479"/>
      <c r="F4" s="479"/>
      <c r="G4" s="479"/>
      <c r="H4" s="479"/>
    </row>
    <row r="5" spans="2:8" ht="33.75" customHeight="1" thickBot="1">
      <c r="B5" s="324" t="s">
        <v>177</v>
      </c>
      <c r="C5" s="465" t="s">
        <v>180</v>
      </c>
      <c r="D5" s="325" t="s">
        <v>179</v>
      </c>
      <c r="F5" s="324" t="s">
        <v>177</v>
      </c>
      <c r="G5" s="465" t="s">
        <v>180</v>
      </c>
      <c r="H5" s="325" t="s">
        <v>179</v>
      </c>
    </row>
    <row r="6" spans="2:8" ht="15" customHeight="1">
      <c r="B6" s="327"/>
      <c r="C6" s="142"/>
      <c r="D6" s="44"/>
      <c r="F6" s="327"/>
      <c r="G6" s="142"/>
      <c r="H6" s="44"/>
    </row>
    <row r="7" spans="2:8" ht="15" customHeight="1">
      <c r="B7" s="244" t="s">
        <v>155</v>
      </c>
      <c r="C7" s="143">
        <v>560.8</v>
      </c>
      <c r="D7" s="427">
        <v>107.3</v>
      </c>
      <c r="F7" s="244" t="s">
        <v>155</v>
      </c>
      <c r="G7" s="143">
        <v>539.3</v>
      </c>
      <c r="H7" s="427">
        <v>103.8</v>
      </c>
    </row>
    <row r="8" spans="2:8" ht="15" customHeight="1">
      <c r="B8" s="244"/>
      <c r="C8" s="143"/>
      <c r="D8" s="427"/>
      <c r="F8" s="244"/>
      <c r="G8" s="143"/>
      <c r="H8" s="427"/>
    </row>
    <row r="9" spans="2:8" ht="15" customHeight="1">
      <c r="B9" s="244" t="s">
        <v>16</v>
      </c>
      <c r="C9" s="143">
        <v>10180.1</v>
      </c>
      <c r="D9" s="427">
        <v>1870.8</v>
      </c>
      <c r="F9" s="244" t="s">
        <v>16</v>
      </c>
      <c r="G9" s="143">
        <v>9722.1</v>
      </c>
      <c r="H9" s="427">
        <v>1829.5</v>
      </c>
    </row>
    <row r="10" spans="2:8" ht="15" customHeight="1">
      <c r="B10" s="244"/>
      <c r="C10" s="143"/>
      <c r="D10" s="427"/>
      <c r="F10" s="244"/>
      <c r="G10" s="143"/>
      <c r="H10" s="427"/>
    </row>
    <row r="11" spans="2:8" ht="15" customHeight="1">
      <c r="B11" s="244" t="s">
        <v>18</v>
      </c>
      <c r="C11" s="143">
        <v>6433.9</v>
      </c>
      <c r="D11" s="427">
        <v>1964.9</v>
      </c>
      <c r="F11" s="244" t="s">
        <v>18</v>
      </c>
      <c r="G11" s="143">
        <v>5790.4</v>
      </c>
      <c r="H11" s="427">
        <v>1907.9</v>
      </c>
    </row>
    <row r="12" spans="2:8" ht="15" customHeight="1">
      <c r="B12" s="244"/>
      <c r="C12" s="143"/>
      <c r="D12" s="427"/>
      <c r="F12" s="244"/>
      <c r="G12" s="143"/>
      <c r="H12" s="427"/>
    </row>
    <row r="13" spans="2:8" ht="15" customHeight="1">
      <c r="B13" s="244" t="s">
        <v>19</v>
      </c>
      <c r="C13" s="143">
        <v>10219.2</v>
      </c>
      <c r="D13" s="427">
        <v>3776.9</v>
      </c>
      <c r="F13" s="244" t="s">
        <v>19</v>
      </c>
      <c r="G13" s="143">
        <v>9432.7</v>
      </c>
      <c r="H13" s="427">
        <v>3178.4</v>
      </c>
    </row>
    <row r="14" spans="2:8" ht="15" customHeight="1">
      <c r="B14" s="244"/>
      <c r="C14" s="143"/>
      <c r="D14" s="427"/>
      <c r="F14" s="244"/>
      <c r="G14" s="143"/>
      <c r="H14" s="427"/>
    </row>
    <row r="15" spans="2:8" ht="15" customHeight="1">
      <c r="B15" s="244" t="s">
        <v>17</v>
      </c>
      <c r="C15" s="143">
        <v>6580.3</v>
      </c>
      <c r="D15" s="427">
        <v>1937</v>
      </c>
      <c r="F15" s="244" t="s">
        <v>17</v>
      </c>
      <c r="G15" s="143">
        <v>5783.6</v>
      </c>
      <c r="H15" s="427">
        <v>1896</v>
      </c>
    </row>
    <row r="16" spans="2:8" ht="15" customHeight="1">
      <c r="B16" s="244"/>
      <c r="C16" s="143"/>
      <c r="D16" s="427"/>
      <c r="F16" s="244"/>
      <c r="G16" s="143"/>
      <c r="H16" s="427"/>
    </row>
    <row r="17" spans="2:8" ht="15" customHeight="1">
      <c r="B17" s="244" t="s">
        <v>20</v>
      </c>
      <c r="C17" s="143">
        <v>3609</v>
      </c>
      <c r="D17" s="427">
        <v>1297.5</v>
      </c>
      <c r="F17" s="244" t="s">
        <v>20</v>
      </c>
      <c r="G17" s="143">
        <v>3374.9</v>
      </c>
      <c r="H17" s="427">
        <v>1238.6</v>
      </c>
    </row>
    <row r="18" spans="2:8" ht="15" customHeight="1">
      <c r="B18" s="244"/>
      <c r="C18" s="143"/>
      <c r="D18" s="427"/>
      <c r="F18" s="244"/>
      <c r="G18" s="143"/>
      <c r="H18" s="427"/>
    </row>
    <row r="19" spans="2:8" ht="15" customHeight="1" thickBot="1">
      <c r="B19" s="309" t="s">
        <v>100</v>
      </c>
      <c r="C19" s="530">
        <v>9589</v>
      </c>
      <c r="D19" s="531">
        <v>1212.2</v>
      </c>
      <c r="F19" s="309" t="s">
        <v>100</v>
      </c>
      <c r="G19" s="144">
        <v>8926.7</v>
      </c>
      <c r="H19" s="428">
        <v>1177.2</v>
      </c>
    </row>
    <row r="20" spans="2:8" ht="15" customHeight="1">
      <c r="B20" s="21"/>
      <c r="C20" s="17"/>
      <c r="D20" s="17"/>
      <c r="F20" s="21"/>
      <c r="G20" s="17"/>
      <c r="H20" s="17"/>
    </row>
    <row r="21" spans="2:8" ht="15" customHeight="1">
      <c r="B21" s="429" t="s">
        <v>181</v>
      </c>
      <c r="C21"/>
      <c r="D21"/>
      <c r="F21" s="429" t="s">
        <v>181</v>
      </c>
      <c r="G21"/>
      <c r="H21"/>
    </row>
    <row r="22" ht="15" customHeight="1">
      <c r="B22" s="141"/>
    </row>
    <row r="25" spans="2:16" ht="15" customHeight="1">
      <c r="B25" s="486" t="s">
        <v>31</v>
      </c>
      <c r="C25" s="486"/>
      <c r="D25" s="486"/>
      <c r="F25" s="486" t="s">
        <v>31</v>
      </c>
      <c r="G25" s="486"/>
      <c r="H25" s="486"/>
      <c r="J25" s="486" t="s">
        <v>31</v>
      </c>
      <c r="K25" s="486"/>
      <c r="L25" s="486"/>
      <c r="N25" s="486"/>
      <c r="O25" s="486"/>
      <c r="P25" s="486"/>
    </row>
    <row r="26" spans="2:16" ht="15" customHeight="1">
      <c r="B26" s="486" t="s">
        <v>178</v>
      </c>
      <c r="C26" s="486"/>
      <c r="D26" s="486"/>
      <c r="F26" s="486" t="s">
        <v>178</v>
      </c>
      <c r="G26" s="486"/>
      <c r="H26" s="486"/>
      <c r="J26" s="486" t="s">
        <v>178</v>
      </c>
      <c r="K26" s="486"/>
      <c r="L26" s="486"/>
      <c r="N26" s="486"/>
      <c r="O26" s="486"/>
      <c r="P26" s="486"/>
    </row>
    <row r="27" spans="2:16" ht="15" customHeight="1">
      <c r="B27" s="486" t="s">
        <v>189</v>
      </c>
      <c r="C27" s="486"/>
      <c r="D27" s="486"/>
      <c r="F27" s="486" t="s">
        <v>183</v>
      </c>
      <c r="G27" s="486"/>
      <c r="H27" s="486"/>
      <c r="J27" s="486" t="s">
        <v>188</v>
      </c>
      <c r="K27" s="486"/>
      <c r="L27" s="486"/>
      <c r="N27" s="486"/>
      <c r="O27" s="486"/>
      <c r="P27" s="486"/>
    </row>
    <row r="28" spans="2:16" ht="15" customHeight="1" thickBot="1">
      <c r="B28" s="479"/>
      <c r="C28" s="479"/>
      <c r="D28" s="479"/>
      <c r="J28" s="479"/>
      <c r="K28" s="479"/>
      <c r="L28" s="479"/>
      <c r="N28" s="479"/>
      <c r="O28" s="479"/>
      <c r="P28" s="479"/>
    </row>
    <row r="29" spans="2:16" ht="37.5" customHeight="1" thickBot="1">
      <c r="B29" s="324" t="s">
        <v>177</v>
      </c>
      <c r="C29" s="251" t="s">
        <v>180</v>
      </c>
      <c r="D29" s="325" t="s">
        <v>179</v>
      </c>
      <c r="F29" s="324" t="s">
        <v>177</v>
      </c>
      <c r="G29" s="251" t="s">
        <v>180</v>
      </c>
      <c r="H29" s="325" t="s">
        <v>179</v>
      </c>
      <c r="J29" s="324" t="s">
        <v>177</v>
      </c>
      <c r="K29" s="251" t="s">
        <v>180</v>
      </c>
      <c r="L29" s="325" t="s">
        <v>179</v>
      </c>
      <c r="N29"/>
      <c r="O29"/>
      <c r="P29"/>
    </row>
    <row r="30" spans="2:16" ht="15" customHeight="1">
      <c r="B30" s="327"/>
      <c r="C30" s="142"/>
      <c r="D30" s="44"/>
      <c r="F30" s="327"/>
      <c r="G30" s="142"/>
      <c r="H30" s="44"/>
      <c r="J30" s="327"/>
      <c r="K30" s="142"/>
      <c r="L30" s="44"/>
      <c r="N30"/>
      <c r="O30"/>
      <c r="P30"/>
    </row>
    <row r="31" spans="2:16" ht="15" customHeight="1">
      <c r="B31" s="244" t="s">
        <v>155</v>
      </c>
      <c r="C31" s="143">
        <v>588.4</v>
      </c>
      <c r="D31" s="427">
        <v>101</v>
      </c>
      <c r="F31" s="244" t="s">
        <v>155</v>
      </c>
      <c r="G31" s="143">
        <v>552.5</v>
      </c>
      <c r="H31" s="427">
        <v>94.47</v>
      </c>
      <c r="J31" s="244" t="s">
        <v>155</v>
      </c>
      <c r="K31" s="143">
        <v>533.2</v>
      </c>
      <c r="L31" s="427">
        <v>86.81</v>
      </c>
      <c r="N31"/>
      <c r="O31"/>
      <c r="P31"/>
    </row>
    <row r="32" spans="2:16" ht="15" customHeight="1">
      <c r="B32" s="244"/>
      <c r="C32" s="143"/>
      <c r="D32" s="427"/>
      <c r="F32" s="244"/>
      <c r="G32" s="143"/>
      <c r="H32" s="427"/>
      <c r="J32" s="244"/>
      <c r="K32" s="143"/>
      <c r="L32" s="427"/>
      <c r="N32"/>
      <c r="O32"/>
      <c r="P32"/>
    </row>
    <row r="33" spans="2:16" ht="15" customHeight="1">
      <c r="B33" s="244" t="s">
        <v>16</v>
      </c>
      <c r="C33" s="143">
        <v>10018.7</v>
      </c>
      <c r="D33" s="427">
        <v>1791.5</v>
      </c>
      <c r="F33" s="244" t="s">
        <v>16</v>
      </c>
      <c r="G33" s="143">
        <v>9803.7</v>
      </c>
      <c r="H33" s="427">
        <v>1717.9</v>
      </c>
      <c r="J33" s="244" t="s">
        <v>16</v>
      </c>
      <c r="K33" s="143">
        <v>9343.7</v>
      </c>
      <c r="L33" s="427">
        <v>1646.69</v>
      </c>
      <c r="N33"/>
      <c r="O33"/>
      <c r="P33"/>
    </row>
    <row r="34" spans="2:16" ht="15" customHeight="1">
      <c r="B34" s="244"/>
      <c r="C34" s="143"/>
      <c r="D34" s="427"/>
      <c r="F34" s="244"/>
      <c r="G34" s="143"/>
      <c r="H34" s="427"/>
      <c r="J34" s="244"/>
      <c r="K34" s="143"/>
      <c r="L34" s="427"/>
      <c r="N34"/>
      <c r="O34"/>
      <c r="P34"/>
    </row>
    <row r="35" spans="2:16" ht="15" customHeight="1">
      <c r="B35" s="244" t="s">
        <v>18</v>
      </c>
      <c r="C35" s="143">
        <v>5468.7</v>
      </c>
      <c r="D35" s="427">
        <v>1866.3</v>
      </c>
      <c r="F35" s="244" t="s">
        <v>18</v>
      </c>
      <c r="G35" s="143">
        <v>5428.9</v>
      </c>
      <c r="H35" s="427">
        <v>1746.88</v>
      </c>
      <c r="J35" s="244" t="s">
        <v>18</v>
      </c>
      <c r="K35" s="143">
        <v>5800.8</v>
      </c>
      <c r="L35" s="427">
        <v>1707.43</v>
      </c>
      <c r="N35"/>
      <c r="O35"/>
      <c r="P35"/>
    </row>
    <row r="36" spans="2:16" ht="15" customHeight="1">
      <c r="B36" s="244"/>
      <c r="C36" s="143"/>
      <c r="D36" s="427"/>
      <c r="F36" s="244"/>
      <c r="G36" s="143"/>
      <c r="H36" s="427"/>
      <c r="J36" s="244"/>
      <c r="K36" s="143"/>
      <c r="L36" s="427"/>
      <c r="N36"/>
      <c r="O36"/>
      <c r="P36"/>
    </row>
    <row r="37" spans="2:16" ht="15" customHeight="1">
      <c r="B37" s="244" t="s">
        <v>19</v>
      </c>
      <c r="C37" s="143">
        <v>9443.4</v>
      </c>
      <c r="D37" s="427">
        <v>3178.4</v>
      </c>
      <c r="F37" s="244" t="s">
        <v>19</v>
      </c>
      <c r="G37" s="143">
        <v>8726.8</v>
      </c>
      <c r="H37" s="427">
        <v>3200</v>
      </c>
      <c r="J37" s="244" t="s">
        <v>19</v>
      </c>
      <c r="K37" s="143">
        <v>8185.2</v>
      </c>
      <c r="L37" s="427">
        <v>2994.29</v>
      </c>
      <c r="N37"/>
      <c r="O37"/>
      <c r="P37"/>
    </row>
    <row r="38" spans="2:16" ht="15" customHeight="1">
      <c r="B38" s="244"/>
      <c r="C38" s="143"/>
      <c r="D38" s="427"/>
      <c r="F38" s="244"/>
      <c r="G38" s="143"/>
      <c r="H38" s="427"/>
      <c r="J38" s="244"/>
      <c r="K38" s="143"/>
      <c r="L38" s="427"/>
      <c r="N38"/>
      <c r="O38"/>
      <c r="P38"/>
    </row>
    <row r="39" spans="2:16" ht="15" customHeight="1">
      <c r="B39" s="244" t="s">
        <v>17</v>
      </c>
      <c r="C39" s="143">
        <v>6349.7</v>
      </c>
      <c r="D39" s="427">
        <v>1905.8</v>
      </c>
      <c r="F39" s="244" t="s">
        <v>17</v>
      </c>
      <c r="G39" s="143">
        <v>6176.3</v>
      </c>
      <c r="H39" s="427">
        <v>1732.61</v>
      </c>
      <c r="J39" s="244" t="s">
        <v>17</v>
      </c>
      <c r="K39" s="143">
        <v>5811.7</v>
      </c>
      <c r="L39" s="427">
        <v>1645.61</v>
      </c>
      <c r="N39"/>
      <c r="O39"/>
      <c r="P39"/>
    </row>
    <row r="40" spans="2:16" ht="15" customHeight="1">
      <c r="B40" s="244"/>
      <c r="C40" s="143"/>
      <c r="D40" s="427"/>
      <c r="F40" s="244"/>
      <c r="G40" s="143"/>
      <c r="H40" s="427"/>
      <c r="J40" s="244"/>
      <c r="K40" s="143"/>
      <c r="L40" s="427"/>
      <c r="N40"/>
      <c r="O40"/>
      <c r="P40"/>
    </row>
    <row r="41" spans="2:16" ht="15" customHeight="1">
      <c r="B41" s="244" t="s">
        <v>20</v>
      </c>
      <c r="C41" s="143">
        <v>3470.4</v>
      </c>
      <c r="D41" s="427">
        <v>1212.6</v>
      </c>
      <c r="F41" s="244" t="s">
        <v>20</v>
      </c>
      <c r="G41" s="143">
        <v>3450</v>
      </c>
      <c r="H41" s="427">
        <v>1158.96</v>
      </c>
      <c r="J41" s="244" t="s">
        <v>20</v>
      </c>
      <c r="K41" s="143">
        <v>3150.3</v>
      </c>
      <c r="L41" s="427">
        <v>1048.13</v>
      </c>
      <c r="N41"/>
      <c r="O41"/>
      <c r="P41"/>
    </row>
    <row r="42" spans="2:16" ht="15" customHeight="1">
      <c r="B42" s="244"/>
      <c r="C42" s="143"/>
      <c r="D42" s="427"/>
      <c r="F42" s="244"/>
      <c r="G42" s="143"/>
      <c r="H42" s="427"/>
      <c r="J42" s="244"/>
      <c r="K42" s="143"/>
      <c r="L42" s="427"/>
      <c r="N42"/>
      <c r="O42"/>
      <c r="P42"/>
    </row>
    <row r="43" spans="2:16" ht="15" customHeight="1" thickBot="1">
      <c r="B43" s="309" t="s">
        <v>100</v>
      </c>
      <c r="C43" s="144">
        <v>9624</v>
      </c>
      <c r="D43" s="428">
        <v>1152.5</v>
      </c>
      <c r="F43" s="309" t="s">
        <v>100</v>
      </c>
      <c r="G43" s="144">
        <v>8897</v>
      </c>
      <c r="H43" s="428">
        <v>1076</v>
      </c>
      <c r="J43" s="309" t="s">
        <v>100</v>
      </c>
      <c r="K43" s="144">
        <v>8368.6</v>
      </c>
      <c r="L43" s="428">
        <v>1042.7</v>
      </c>
      <c r="N43"/>
      <c r="O43"/>
      <c r="P43"/>
    </row>
    <row r="44" spans="2:16" ht="15" customHeight="1">
      <c r="B44" s="21"/>
      <c r="C44" s="17"/>
      <c r="D44" s="17"/>
      <c r="F44" s="21"/>
      <c r="G44" s="17"/>
      <c r="H44" s="17"/>
      <c r="J44" s="21"/>
      <c r="K44" s="17"/>
      <c r="L44" s="17"/>
      <c r="N44"/>
      <c r="O44"/>
      <c r="P44"/>
    </row>
    <row r="45" spans="2:16" ht="15" customHeight="1">
      <c r="B45" s="429" t="s">
        <v>181</v>
      </c>
      <c r="C45"/>
      <c r="D45"/>
      <c r="F45" s="429" t="s">
        <v>181</v>
      </c>
      <c r="G45"/>
      <c r="H45"/>
      <c r="J45" s="429" t="s">
        <v>181</v>
      </c>
      <c r="K45"/>
      <c r="L45"/>
      <c r="N45" s="429"/>
      <c r="O45"/>
      <c r="P45"/>
    </row>
    <row r="46" spans="2:16" ht="15" customHeight="1">
      <c r="B46" s="141"/>
      <c r="N46" s="429"/>
      <c r="O46"/>
      <c r="P46"/>
    </row>
    <row r="47" spans="2:16" ht="15" customHeight="1">
      <c r="B47" s="141"/>
      <c r="N47" s="429"/>
      <c r="O47"/>
      <c r="P47"/>
    </row>
    <row r="48" spans="2:16" ht="15" customHeight="1">
      <c r="B48" s="139"/>
      <c r="C48" s="139"/>
      <c r="D48" s="139"/>
      <c r="I48" s="139"/>
      <c r="J48" s="139"/>
      <c r="K48" s="139"/>
      <c r="L48" s="139"/>
      <c r="M48" s="139"/>
      <c r="N48" s="486"/>
      <c r="O48" s="486"/>
      <c r="P48" s="486"/>
    </row>
    <row r="49" spans="2:16" ht="15" customHeight="1">
      <c r="B49" s="486" t="s">
        <v>178</v>
      </c>
      <c r="C49" s="486"/>
      <c r="D49" s="486"/>
      <c r="F49" s="486" t="s">
        <v>178</v>
      </c>
      <c r="G49" s="486"/>
      <c r="H49" s="486"/>
      <c r="I49" s="139"/>
      <c r="J49" s="486"/>
      <c r="K49" s="486"/>
      <c r="L49" s="486"/>
      <c r="M49" s="139"/>
      <c r="N49" s="486"/>
      <c r="O49" s="486"/>
      <c r="P49" s="486"/>
    </row>
    <row r="50" spans="2:16" ht="15" customHeight="1">
      <c r="B50" s="486" t="s">
        <v>188</v>
      </c>
      <c r="C50" s="486"/>
      <c r="D50" s="486"/>
      <c r="F50" s="486" t="s">
        <v>182</v>
      </c>
      <c r="G50" s="486"/>
      <c r="H50" s="486"/>
      <c r="I50" s="139"/>
      <c r="J50" s="486"/>
      <c r="K50" s="486"/>
      <c r="L50" s="486"/>
      <c r="M50" s="139"/>
      <c r="N50" s="486"/>
      <c r="O50" s="486"/>
      <c r="P50" s="486"/>
    </row>
    <row r="51" spans="2:16" ht="15" customHeight="1" thickBot="1">
      <c r="B51" s="479"/>
      <c r="C51" s="479"/>
      <c r="D51" s="479"/>
      <c r="I51" s="140"/>
      <c r="J51" s="479"/>
      <c r="K51" s="479"/>
      <c r="L51" s="479"/>
      <c r="M51" s="17"/>
      <c r="N51" s="479"/>
      <c r="O51" s="479"/>
      <c r="P51" s="479"/>
    </row>
    <row r="52" spans="2:16" s="129" customFormat="1" ht="39.75" customHeight="1" thickBot="1">
      <c r="B52" s="324" t="s">
        <v>177</v>
      </c>
      <c r="C52" s="251" t="s">
        <v>180</v>
      </c>
      <c r="D52" s="325" t="s">
        <v>179</v>
      </c>
      <c r="F52" s="324" t="s">
        <v>177</v>
      </c>
      <c r="G52" s="251" t="s">
        <v>180</v>
      </c>
      <c r="H52" s="325" t="s">
        <v>179</v>
      </c>
      <c r="J52"/>
      <c r="K52"/>
      <c r="L52"/>
      <c r="M52" s="149"/>
      <c r="N52"/>
      <c r="O52"/>
      <c r="P52"/>
    </row>
    <row r="53" spans="2:16" ht="15" customHeight="1">
      <c r="B53" s="327"/>
      <c r="C53" s="142"/>
      <c r="D53" s="44"/>
      <c r="F53" s="327"/>
      <c r="G53" s="142"/>
      <c r="H53" s="44"/>
      <c r="I53" s="72"/>
      <c r="J53"/>
      <c r="K53"/>
      <c r="L53"/>
      <c r="M53" s="31"/>
      <c r="N53"/>
      <c r="O53"/>
      <c r="P53"/>
    </row>
    <row r="54" spans="2:16" ht="15" customHeight="1">
      <c r="B54" s="244" t="s">
        <v>155</v>
      </c>
      <c r="C54" s="143">
        <v>554.4</v>
      </c>
      <c r="D54" s="427">
        <v>97.7</v>
      </c>
      <c r="F54" s="244" t="s">
        <v>155</v>
      </c>
      <c r="G54" s="143">
        <v>540.9</v>
      </c>
      <c r="H54" s="427">
        <v>90.6</v>
      </c>
      <c r="I54" s="72"/>
      <c r="J54"/>
      <c r="K54"/>
      <c r="L54"/>
      <c r="M54" s="31"/>
      <c r="N54"/>
      <c r="O54"/>
      <c r="P54"/>
    </row>
    <row r="55" spans="2:16" ht="15" customHeight="1">
      <c r="B55" s="244"/>
      <c r="C55" s="143"/>
      <c r="D55" s="427"/>
      <c r="F55" s="244"/>
      <c r="G55" s="143"/>
      <c r="H55" s="427"/>
      <c r="I55" s="72"/>
      <c r="J55"/>
      <c r="K55"/>
      <c r="L55"/>
      <c r="M55" s="31"/>
      <c r="N55"/>
      <c r="O55"/>
      <c r="P55"/>
    </row>
    <row r="56" spans="2:16" ht="15" customHeight="1">
      <c r="B56" s="244" t="s">
        <v>16</v>
      </c>
      <c r="C56" s="440">
        <v>9893.8</v>
      </c>
      <c r="D56" s="441">
        <v>1752</v>
      </c>
      <c r="F56" s="244" t="s">
        <v>16</v>
      </c>
      <c r="G56" s="143">
        <v>9698.4</v>
      </c>
      <c r="H56" s="427">
        <v>1680.2</v>
      </c>
      <c r="I56" s="72"/>
      <c r="J56"/>
      <c r="K56"/>
      <c r="L56"/>
      <c r="M56" s="31"/>
      <c r="N56"/>
      <c r="O56"/>
      <c r="P56"/>
    </row>
    <row r="57" spans="2:16" ht="15" customHeight="1">
      <c r="B57" s="244"/>
      <c r="C57" s="440"/>
      <c r="D57" s="441"/>
      <c r="F57" s="244"/>
      <c r="G57" s="143"/>
      <c r="H57" s="427"/>
      <c r="I57" s="72"/>
      <c r="J57"/>
      <c r="K57"/>
      <c r="L57"/>
      <c r="M57" s="31"/>
      <c r="N57"/>
      <c r="O57"/>
      <c r="P57"/>
    </row>
    <row r="58" spans="2:16" ht="15" customHeight="1">
      <c r="B58" s="244" t="s">
        <v>18</v>
      </c>
      <c r="C58" s="440">
        <v>5392.4</v>
      </c>
      <c r="D58" s="441">
        <v>1823.42</v>
      </c>
      <c r="F58" s="244" t="s">
        <v>18</v>
      </c>
      <c r="G58" s="143">
        <v>5857.5</v>
      </c>
      <c r="H58" s="427">
        <v>1746.88</v>
      </c>
      <c r="I58" s="72"/>
      <c r="J58"/>
      <c r="K58"/>
      <c r="L58"/>
      <c r="M58" s="31"/>
      <c r="N58"/>
      <c r="O58"/>
      <c r="P58"/>
    </row>
    <row r="59" spans="2:16" ht="15" customHeight="1">
      <c r="B59" s="244"/>
      <c r="C59" s="440"/>
      <c r="D59" s="441"/>
      <c r="F59" s="244"/>
      <c r="G59" s="143"/>
      <c r="H59" s="427"/>
      <c r="I59" s="72"/>
      <c r="J59"/>
      <c r="K59"/>
      <c r="L59"/>
      <c r="M59" s="31"/>
      <c r="N59"/>
      <c r="O59"/>
      <c r="P59"/>
    </row>
    <row r="60" spans="2:16" ht="15" customHeight="1">
      <c r="B60" s="244" t="s">
        <v>19</v>
      </c>
      <c r="C60" s="440">
        <v>9337.1</v>
      </c>
      <c r="D60" s="441">
        <v>3313.8</v>
      </c>
      <c r="F60" s="244" t="s">
        <v>19</v>
      </c>
      <c r="G60" s="143">
        <v>8579.6</v>
      </c>
      <c r="H60" s="427">
        <v>3092.98</v>
      </c>
      <c r="I60" s="72"/>
      <c r="J60"/>
      <c r="K60"/>
      <c r="L60"/>
      <c r="M60" s="31"/>
      <c r="N60"/>
      <c r="O60"/>
      <c r="P60"/>
    </row>
    <row r="61" spans="2:16" ht="15" customHeight="1">
      <c r="B61" s="244"/>
      <c r="C61" s="440"/>
      <c r="D61" s="441"/>
      <c r="F61" s="244"/>
      <c r="G61" s="143"/>
      <c r="H61" s="427"/>
      <c r="I61" s="72"/>
      <c r="J61"/>
      <c r="K61"/>
      <c r="L61"/>
      <c r="M61" s="31"/>
      <c r="N61"/>
      <c r="O61"/>
      <c r="P61"/>
    </row>
    <row r="62" spans="2:16" ht="15" customHeight="1">
      <c r="B62" s="244" t="s">
        <v>17</v>
      </c>
      <c r="C62" s="440">
        <v>6190.3</v>
      </c>
      <c r="D62" s="441">
        <v>1807</v>
      </c>
      <c r="F62" s="244" t="s">
        <v>17</v>
      </c>
      <c r="G62" s="143">
        <v>5905.4</v>
      </c>
      <c r="H62" s="427">
        <v>1675.06</v>
      </c>
      <c r="I62" s="72"/>
      <c r="J62"/>
      <c r="K62"/>
      <c r="L62"/>
      <c r="M62" s="31"/>
      <c r="N62"/>
      <c r="O62"/>
      <c r="P62"/>
    </row>
    <row r="63" spans="2:16" ht="15" customHeight="1">
      <c r="B63" s="244"/>
      <c r="C63" s="440"/>
      <c r="D63" s="441"/>
      <c r="F63" s="244"/>
      <c r="G63" s="143"/>
      <c r="H63" s="427"/>
      <c r="I63" s="72"/>
      <c r="J63"/>
      <c r="K63"/>
      <c r="L63"/>
      <c r="M63" s="31"/>
      <c r="N63"/>
      <c r="O63"/>
      <c r="P63"/>
    </row>
    <row r="64" spans="2:16" ht="15" customHeight="1">
      <c r="B64" s="244" t="s">
        <v>20</v>
      </c>
      <c r="C64" s="440">
        <v>3455.6</v>
      </c>
      <c r="D64" s="441">
        <v>1195</v>
      </c>
      <c r="F64" s="244" t="s">
        <v>20</v>
      </c>
      <c r="G64" s="143">
        <v>3339.4</v>
      </c>
      <c r="H64" s="427">
        <v>1101.29</v>
      </c>
      <c r="I64" s="72"/>
      <c r="J64"/>
      <c r="K64"/>
      <c r="L64"/>
      <c r="M64" s="31"/>
      <c r="N64"/>
      <c r="O64"/>
      <c r="P64"/>
    </row>
    <row r="65" spans="2:16" ht="15" customHeight="1">
      <c r="B65" s="244"/>
      <c r="C65" s="143"/>
      <c r="D65" s="427"/>
      <c r="F65" s="244"/>
      <c r="G65" s="143"/>
      <c r="H65" s="427"/>
      <c r="I65" s="72"/>
      <c r="J65"/>
      <c r="K65"/>
      <c r="L65"/>
      <c r="M65" s="31"/>
      <c r="N65"/>
      <c r="O65"/>
      <c r="P65"/>
    </row>
    <row r="66" spans="2:16" ht="15" customHeight="1" thickBot="1">
      <c r="B66" s="309" t="s">
        <v>100</v>
      </c>
      <c r="C66" s="144">
        <v>9098.9</v>
      </c>
      <c r="D66" s="428">
        <v>1103.8</v>
      </c>
      <c r="F66" s="309" t="s">
        <v>100</v>
      </c>
      <c r="G66" s="144">
        <v>8588.5</v>
      </c>
      <c r="H66" s="428">
        <v>1042.7</v>
      </c>
      <c r="I66" s="72"/>
      <c r="J66"/>
      <c r="K66"/>
      <c r="L66"/>
      <c r="M66" s="31"/>
      <c r="N66"/>
      <c r="O66"/>
      <c r="P66"/>
    </row>
    <row r="67" spans="2:16" ht="15" customHeight="1">
      <c r="B67" s="21"/>
      <c r="C67" s="17"/>
      <c r="D67" s="17"/>
      <c r="F67" s="21"/>
      <c r="G67" s="17"/>
      <c r="H67" s="17"/>
      <c r="I67" s="72"/>
      <c r="J67" s="21"/>
      <c r="K67" s="17"/>
      <c r="L67" s="17"/>
      <c r="M67" s="31"/>
      <c r="N67" s="21"/>
      <c r="O67" s="17"/>
      <c r="P67" s="17"/>
    </row>
    <row r="68" spans="2:16" ht="24.75" customHeight="1">
      <c r="B68" s="429" t="s">
        <v>181</v>
      </c>
      <c r="C68"/>
      <c r="D68"/>
      <c r="F68" s="429" t="s">
        <v>181</v>
      </c>
      <c r="G68"/>
      <c r="H68"/>
      <c r="I68"/>
      <c r="J68" s="429"/>
      <c r="K68"/>
      <c r="L68"/>
      <c r="M68" s="31"/>
      <c r="N68" s="429"/>
      <c r="O68"/>
      <c r="P68"/>
    </row>
    <row r="69" spans="6:15" ht="15" customHeight="1">
      <c r="F69"/>
      <c r="G69"/>
      <c r="H69"/>
      <c r="I69"/>
      <c r="J69" s="148"/>
      <c r="K69" s="148"/>
      <c r="L69" s="148"/>
      <c r="M69" s="31"/>
      <c r="N69" s="148"/>
      <c r="O69" s="148"/>
    </row>
    <row r="70" spans="6:15" ht="15" customHeight="1">
      <c r="F70"/>
      <c r="G70"/>
      <c r="H70"/>
      <c r="I70"/>
      <c r="J70" s="148"/>
      <c r="K70" s="148"/>
      <c r="L70" s="148"/>
      <c r="M70" s="31"/>
      <c r="N70" s="148"/>
      <c r="O70" s="148"/>
    </row>
    <row r="71" spans="6:15" ht="15" customHeight="1">
      <c r="F71"/>
      <c r="G71"/>
      <c r="H71"/>
      <c r="I71"/>
      <c r="J71" s="148"/>
      <c r="K71" s="148"/>
      <c r="L71" s="148"/>
      <c r="M71" s="31"/>
      <c r="N71" s="148"/>
      <c r="O71" s="148"/>
    </row>
    <row r="72" spans="6:15" ht="15" customHeight="1">
      <c r="F72"/>
      <c r="G72"/>
      <c r="H72"/>
      <c r="I72"/>
      <c r="J72" s="17"/>
      <c r="K72" s="38"/>
      <c r="L72" s="38"/>
      <c r="M72" s="31"/>
      <c r="N72" s="17"/>
      <c r="O72" s="17"/>
    </row>
    <row r="73" spans="6:15" ht="24.75" customHeight="1">
      <c r="F73"/>
      <c r="G73"/>
      <c r="H73"/>
      <c r="I73"/>
      <c r="J73" s="150"/>
      <c r="K73" s="150"/>
      <c r="L73" s="150"/>
      <c r="M73" s="31"/>
      <c r="N73" s="150"/>
      <c r="O73" s="150"/>
    </row>
    <row r="74" spans="6:15" ht="15" customHeight="1">
      <c r="F74"/>
      <c r="G74"/>
      <c r="H74"/>
      <c r="I74"/>
      <c r="J74" s="148"/>
      <c r="K74" s="148"/>
      <c r="L74" s="148"/>
      <c r="M74" s="31"/>
      <c r="N74" s="148"/>
      <c r="O74" s="148"/>
    </row>
    <row r="75" spans="6:15" ht="15" customHeight="1">
      <c r="F75"/>
      <c r="G75"/>
      <c r="H75"/>
      <c r="I75"/>
      <c r="J75" s="148"/>
      <c r="K75" s="148"/>
      <c r="L75" s="148"/>
      <c r="M75" s="31"/>
      <c r="N75" s="148"/>
      <c r="O75" s="148"/>
    </row>
    <row r="76" spans="6:15" ht="15" customHeight="1">
      <c r="F76"/>
      <c r="G76"/>
      <c r="H76"/>
      <c r="I76"/>
      <c r="J76" s="147"/>
      <c r="K76" s="148"/>
      <c r="L76" s="148"/>
      <c r="M76" s="31"/>
      <c r="N76" s="147"/>
      <c r="O76" s="147"/>
    </row>
    <row r="77" spans="6:15" ht="15" customHeight="1">
      <c r="F77"/>
      <c r="G77"/>
      <c r="H77"/>
      <c r="I77"/>
      <c r="J77" s="147"/>
      <c r="K77" s="148"/>
      <c r="L77" s="148"/>
      <c r="M77" s="31"/>
      <c r="N77" s="147"/>
      <c r="O77" s="147"/>
    </row>
    <row r="78" spans="6:15" ht="15" customHeight="1">
      <c r="F78"/>
      <c r="G78"/>
      <c r="H78"/>
      <c r="I78"/>
      <c r="J78" s="17"/>
      <c r="K78" s="38"/>
      <c r="L78" s="38"/>
      <c r="M78" s="31"/>
      <c r="N78" s="17"/>
      <c r="O78" s="17"/>
    </row>
    <row r="79" spans="6:15" ht="24.75" customHeight="1">
      <c r="F79"/>
      <c r="G79"/>
      <c r="H79"/>
      <c r="I79"/>
      <c r="J79" s="150"/>
      <c r="K79" s="150"/>
      <c r="L79" s="150"/>
      <c r="M79" s="31"/>
      <c r="N79" s="150"/>
      <c r="O79" s="150"/>
    </row>
    <row r="80" spans="6:15" ht="15" customHeight="1">
      <c r="F80"/>
      <c r="G80"/>
      <c r="H80"/>
      <c r="I80"/>
      <c r="J80" s="147"/>
      <c r="K80" s="148"/>
      <c r="L80" s="148"/>
      <c r="M80" s="31"/>
      <c r="N80" s="147"/>
      <c r="O80" s="147"/>
    </row>
    <row r="81" spans="6:15" ht="24.75" customHeight="1">
      <c r="F81"/>
      <c r="G81"/>
      <c r="H81"/>
      <c r="I81"/>
      <c r="J81" s="38"/>
      <c r="K81" s="17"/>
      <c r="L81" s="17"/>
      <c r="M81" s="17"/>
      <c r="N81" s="17"/>
      <c r="O81" s="31"/>
    </row>
    <row r="82" spans="6:15" ht="24.75" customHeight="1">
      <c r="F82"/>
      <c r="G82"/>
      <c r="H82"/>
      <c r="I82"/>
      <c r="J82" s="38"/>
      <c r="K82" s="17"/>
      <c r="L82" s="17"/>
      <c r="M82" s="17"/>
      <c r="N82" s="17"/>
      <c r="O82" s="31"/>
    </row>
    <row r="83" spans="6:15" s="129" customFormat="1" ht="39.75" customHeight="1">
      <c r="F83"/>
      <c r="G83"/>
      <c r="H83"/>
      <c r="I83"/>
      <c r="J83" s="149"/>
      <c r="K83" s="149"/>
      <c r="L83" s="149"/>
      <c r="M83" s="149"/>
      <c r="N83" s="149"/>
      <c r="O83" s="149"/>
    </row>
    <row r="84" spans="6:10" ht="15" customHeight="1">
      <c r="F84"/>
      <c r="G84"/>
      <c r="H84"/>
      <c r="I84"/>
      <c r="J84" s="72"/>
    </row>
    <row r="85" spans="6:10" ht="15" customHeight="1">
      <c r="F85"/>
      <c r="G85"/>
      <c r="H85"/>
      <c r="I85"/>
      <c r="J85" s="72"/>
    </row>
    <row r="86" spans="6:10" ht="15" customHeight="1">
      <c r="F86"/>
      <c r="G86"/>
      <c r="H86"/>
      <c r="I86"/>
      <c r="J86" s="72"/>
    </row>
    <row r="87" spans="6:10" ht="15" customHeight="1">
      <c r="F87"/>
      <c r="G87"/>
      <c r="H87"/>
      <c r="I87"/>
      <c r="J87" s="72"/>
    </row>
    <row r="88" spans="6:10" ht="15" customHeight="1">
      <c r="F88"/>
      <c r="G88"/>
      <c r="H88"/>
      <c r="I88"/>
      <c r="J88" s="72"/>
    </row>
    <row r="89" spans="6:10" ht="15" customHeight="1">
      <c r="F89"/>
      <c r="G89"/>
      <c r="H89"/>
      <c r="I89"/>
      <c r="J89" s="72"/>
    </row>
    <row r="90" spans="6:10" ht="15" customHeight="1">
      <c r="F90"/>
      <c r="G90"/>
      <c r="H90"/>
      <c r="I90"/>
      <c r="J90" s="72"/>
    </row>
    <row r="91" spans="6:10" ht="15" customHeight="1">
      <c r="F91"/>
      <c r="G91"/>
      <c r="H91"/>
      <c r="I91"/>
      <c r="J91" s="72"/>
    </row>
    <row r="92" spans="6:10" ht="15" customHeight="1">
      <c r="F92"/>
      <c r="G92"/>
      <c r="H92"/>
      <c r="I92"/>
      <c r="J92" s="72"/>
    </row>
    <row r="93" spans="6:10" ht="15" customHeight="1">
      <c r="F93"/>
      <c r="G93"/>
      <c r="H93"/>
      <c r="I93"/>
      <c r="J93" s="72"/>
    </row>
    <row r="94" spans="6:10" ht="15" customHeight="1">
      <c r="F94"/>
      <c r="G94"/>
      <c r="H94"/>
      <c r="I94"/>
      <c r="J94" s="72"/>
    </row>
    <row r="95" spans="6:10" ht="15" customHeight="1">
      <c r="F95"/>
      <c r="G95"/>
      <c r="H95"/>
      <c r="I95"/>
      <c r="J95" s="72"/>
    </row>
    <row r="96" spans="6:10" ht="15" customHeight="1">
      <c r="F96"/>
      <c r="G96"/>
      <c r="H96"/>
      <c r="I96"/>
      <c r="J96" s="72"/>
    </row>
    <row r="97" spans="6:10" ht="15" customHeight="1">
      <c r="F97"/>
      <c r="G97"/>
      <c r="H97"/>
      <c r="I97"/>
      <c r="J97" s="72"/>
    </row>
    <row r="98" spans="6:10" ht="15" customHeight="1">
      <c r="F98"/>
      <c r="G98"/>
      <c r="H98"/>
      <c r="I98"/>
      <c r="J98" s="72"/>
    </row>
    <row r="99" spans="6:10" ht="24.75" customHeight="1">
      <c r="F99"/>
      <c r="G99"/>
      <c r="H99"/>
      <c r="I99"/>
      <c r="J99" s="72"/>
    </row>
    <row r="100" spans="6:10" ht="15" customHeight="1">
      <c r="F100"/>
      <c r="G100"/>
      <c r="H100"/>
      <c r="I100"/>
      <c r="J100" s="72"/>
    </row>
    <row r="101" spans="6:10" ht="15" customHeight="1">
      <c r="F101"/>
      <c r="G101"/>
      <c r="H101"/>
      <c r="I101"/>
      <c r="J101" s="72"/>
    </row>
    <row r="102" spans="6:10" ht="15" customHeight="1">
      <c r="F102"/>
      <c r="G102"/>
      <c r="H102"/>
      <c r="I102"/>
      <c r="J102" s="72"/>
    </row>
    <row r="103" spans="6:10" ht="15" customHeight="1">
      <c r="F103"/>
      <c r="G103"/>
      <c r="H103"/>
      <c r="I103"/>
      <c r="J103" s="72"/>
    </row>
    <row r="104" spans="6:10" ht="24.75" customHeight="1">
      <c r="F104"/>
      <c r="G104"/>
      <c r="H104"/>
      <c r="I104"/>
      <c r="J104" s="72"/>
    </row>
    <row r="105" spans="6:10" ht="15" customHeight="1">
      <c r="F105"/>
      <c r="G105"/>
      <c r="H105"/>
      <c r="I105"/>
      <c r="J105" s="72"/>
    </row>
    <row r="106" spans="6:10" ht="15" customHeight="1">
      <c r="F106"/>
      <c r="G106"/>
      <c r="H106"/>
      <c r="I106"/>
      <c r="J106" s="72"/>
    </row>
    <row r="107" spans="6:10" ht="15" customHeight="1">
      <c r="F107"/>
      <c r="G107"/>
      <c r="H107"/>
      <c r="I107"/>
      <c r="J107" s="72"/>
    </row>
    <row r="108" spans="6:10" ht="15" customHeight="1">
      <c r="F108"/>
      <c r="G108"/>
      <c r="H108"/>
      <c r="I108"/>
      <c r="J108" s="72"/>
    </row>
    <row r="109" spans="6:10" ht="15" customHeight="1">
      <c r="F109"/>
      <c r="G109"/>
      <c r="H109"/>
      <c r="I109"/>
      <c r="J109" s="72"/>
    </row>
    <row r="110" spans="6:10" ht="24.75" customHeight="1">
      <c r="F110"/>
      <c r="G110"/>
      <c r="H110"/>
      <c r="I110"/>
      <c r="J110" s="72"/>
    </row>
    <row r="111" spans="6:10" ht="15" customHeight="1">
      <c r="F111"/>
      <c r="G111"/>
      <c r="H111"/>
      <c r="I111"/>
      <c r="J111" s="72"/>
    </row>
    <row r="112" spans="6:14" ht="15" customHeight="1">
      <c r="F112"/>
      <c r="G112"/>
      <c r="H112"/>
      <c r="I112"/>
      <c r="J112" s="38"/>
      <c r="K112" s="17"/>
      <c r="L112" s="17"/>
      <c r="M112" s="17"/>
      <c r="N112" s="71"/>
    </row>
    <row r="113" spans="6:14" ht="15" customHeight="1">
      <c r="F113"/>
      <c r="G113"/>
      <c r="H113"/>
      <c r="I113"/>
      <c r="J113" s="140"/>
      <c r="K113" s="71"/>
      <c r="L113" s="71"/>
      <c r="M113" s="71"/>
      <c r="N113" s="71"/>
    </row>
    <row r="114" spans="6:14" ht="15" customHeight="1">
      <c r="F114"/>
      <c r="G114"/>
      <c r="H114"/>
      <c r="I114"/>
      <c r="J114" s="140"/>
      <c r="K114" s="71"/>
      <c r="L114" s="71"/>
      <c r="M114" s="71"/>
      <c r="N114" s="71"/>
    </row>
    <row r="115" spans="6:14" ht="15" customHeight="1">
      <c r="F115"/>
      <c r="G115"/>
      <c r="H115"/>
      <c r="I115"/>
      <c r="J115" s="140"/>
      <c r="K115" s="71"/>
      <c r="L115" s="71"/>
      <c r="M115" s="71"/>
      <c r="N115" s="71"/>
    </row>
    <row r="116" spans="6:14" ht="15" customHeight="1">
      <c r="F116"/>
      <c r="G116"/>
      <c r="H116"/>
      <c r="I116"/>
      <c r="J116" s="140"/>
      <c r="K116" s="71"/>
      <c r="L116" s="71"/>
      <c r="M116" s="71"/>
      <c r="N116" s="71"/>
    </row>
    <row r="117" spans="6:14" ht="15" customHeight="1">
      <c r="F117"/>
      <c r="G117"/>
      <c r="H117"/>
      <c r="I117"/>
      <c r="J117" s="140"/>
      <c r="K117" s="71"/>
      <c r="L117" s="71"/>
      <c r="M117" s="71"/>
      <c r="N117" s="71"/>
    </row>
    <row r="118" spans="6:14" ht="15" customHeight="1">
      <c r="F118"/>
      <c r="G118"/>
      <c r="H118"/>
      <c r="I118"/>
      <c r="J118" s="140"/>
      <c r="K118" s="71"/>
      <c r="L118" s="71"/>
      <c r="M118" s="71"/>
      <c r="N118" s="71"/>
    </row>
    <row r="119" spans="6:14" ht="15" customHeight="1">
      <c r="F119"/>
      <c r="G119"/>
      <c r="H119"/>
      <c r="I119"/>
      <c r="J119" s="140"/>
      <c r="K119" s="71"/>
      <c r="L119" s="71"/>
      <c r="M119" s="71"/>
      <c r="N119" s="71"/>
    </row>
    <row r="120" spans="6:14" ht="15" customHeight="1">
      <c r="F120"/>
      <c r="G120"/>
      <c r="H120"/>
      <c r="I120"/>
      <c r="J120" s="140"/>
      <c r="K120" s="71"/>
      <c r="L120" s="71"/>
      <c r="M120" s="71"/>
      <c r="N120" s="71"/>
    </row>
    <row r="121" spans="6:14" ht="15" customHeight="1">
      <c r="F121"/>
      <c r="G121"/>
      <c r="H121"/>
      <c r="I121"/>
      <c r="J121" s="140"/>
      <c r="K121" s="71"/>
      <c r="L121" s="71"/>
      <c r="M121" s="71"/>
      <c r="N121" s="71"/>
    </row>
    <row r="122" spans="6:14" ht="15" customHeight="1">
      <c r="F122"/>
      <c r="G122"/>
      <c r="H122"/>
      <c r="I122"/>
      <c r="J122" s="140"/>
      <c r="K122" s="71"/>
      <c r="L122" s="71"/>
      <c r="M122" s="71"/>
      <c r="N122" s="71"/>
    </row>
    <row r="123" spans="6:14" ht="15" customHeight="1">
      <c r="F123"/>
      <c r="G123"/>
      <c r="H123"/>
      <c r="I123"/>
      <c r="J123" s="140"/>
      <c r="K123" s="71"/>
      <c r="L123" s="71"/>
      <c r="M123" s="71"/>
      <c r="N123" s="71"/>
    </row>
    <row r="124" spans="6:14" ht="15" customHeight="1">
      <c r="F124"/>
      <c r="G124"/>
      <c r="H124"/>
      <c r="I124"/>
      <c r="J124" s="140"/>
      <c r="K124" s="71"/>
      <c r="L124" s="71"/>
      <c r="M124" s="71"/>
      <c r="N124" s="71"/>
    </row>
    <row r="125" spans="6:14" ht="15" customHeight="1">
      <c r="F125"/>
      <c r="G125"/>
      <c r="H125"/>
      <c r="I125"/>
      <c r="J125" s="140"/>
      <c r="K125" s="71"/>
      <c r="L125" s="71"/>
      <c r="M125" s="71"/>
      <c r="N125" s="71"/>
    </row>
    <row r="126" spans="6:14" ht="15" customHeight="1">
      <c r="F126" s="146"/>
      <c r="G126" s="71"/>
      <c r="H126" s="71"/>
      <c r="I126" s="140"/>
      <c r="J126" s="140"/>
      <c r="K126" s="71"/>
      <c r="L126" s="71"/>
      <c r="M126" s="71"/>
      <c r="N126" s="71"/>
    </row>
    <row r="127" spans="6:14" ht="15" customHeight="1">
      <c r="F127" s="146"/>
      <c r="G127" s="71"/>
      <c r="H127" s="71"/>
      <c r="I127" s="140"/>
      <c r="J127" s="140"/>
      <c r="K127" s="71"/>
      <c r="L127" s="71"/>
      <c r="M127" s="71"/>
      <c r="N127" s="71"/>
    </row>
    <row r="128" spans="6:14" ht="15" customHeight="1">
      <c r="F128" s="146"/>
      <c r="G128" s="71"/>
      <c r="H128" s="71"/>
      <c r="I128" s="140"/>
      <c r="J128" s="140"/>
      <c r="K128" s="71"/>
      <c r="L128" s="71"/>
      <c r="M128" s="71"/>
      <c r="N128" s="71"/>
    </row>
    <row r="129" spans="6:14" ht="15" customHeight="1">
      <c r="F129" s="146"/>
      <c r="G129" s="71"/>
      <c r="H129" s="71"/>
      <c r="I129" s="140"/>
      <c r="J129" s="140"/>
      <c r="K129" s="71"/>
      <c r="L129" s="71"/>
      <c r="M129" s="71"/>
      <c r="N129" s="71"/>
    </row>
    <row r="130" spans="6:14" ht="15" customHeight="1">
      <c r="F130" s="146"/>
      <c r="G130" s="71"/>
      <c r="H130" s="71"/>
      <c r="I130" s="140"/>
      <c r="J130" s="140"/>
      <c r="K130" s="71"/>
      <c r="L130" s="71"/>
      <c r="M130" s="71"/>
      <c r="N130" s="71"/>
    </row>
    <row r="131" spans="6:14" ht="15" customHeight="1">
      <c r="F131" s="146"/>
      <c r="G131" s="71"/>
      <c r="H131" s="71"/>
      <c r="I131" s="140"/>
      <c r="J131" s="140"/>
      <c r="K131" s="71"/>
      <c r="L131" s="71"/>
      <c r="M131" s="71"/>
      <c r="N131" s="71"/>
    </row>
    <row r="132" spans="6:14" ht="15" customHeight="1">
      <c r="F132" s="146"/>
      <c r="G132" s="71"/>
      <c r="H132" s="71"/>
      <c r="I132" s="140"/>
      <c r="J132" s="140"/>
      <c r="K132" s="71"/>
      <c r="L132" s="71"/>
      <c r="M132" s="71"/>
      <c r="N132" s="71"/>
    </row>
    <row r="133" spans="6:14" ht="15" customHeight="1">
      <c r="F133" s="146"/>
      <c r="G133" s="71"/>
      <c r="H133" s="71"/>
      <c r="I133" s="140"/>
      <c r="J133" s="140"/>
      <c r="K133" s="71"/>
      <c r="L133" s="71"/>
      <c r="M133" s="71"/>
      <c r="N133" s="71"/>
    </row>
    <row r="134" spans="6:14" ht="15" customHeight="1">
      <c r="F134" s="146"/>
      <c r="G134" s="71"/>
      <c r="H134" s="71"/>
      <c r="I134" s="140"/>
      <c r="J134" s="140"/>
      <c r="K134" s="71"/>
      <c r="L134" s="71"/>
      <c r="M134" s="71"/>
      <c r="N134" s="71"/>
    </row>
    <row r="135" spans="6:14" ht="15" customHeight="1">
      <c r="F135" s="146"/>
      <c r="G135" s="71"/>
      <c r="H135" s="71"/>
      <c r="I135" s="140"/>
      <c r="J135" s="140"/>
      <c r="K135" s="71"/>
      <c r="L135" s="71"/>
      <c r="M135" s="71"/>
      <c r="N135" s="71"/>
    </row>
    <row r="136" spans="6:14" ht="15" customHeight="1">
      <c r="F136" s="146"/>
      <c r="G136" s="71"/>
      <c r="H136" s="71"/>
      <c r="I136" s="140"/>
      <c r="J136" s="140"/>
      <c r="K136" s="71"/>
      <c r="L136" s="71"/>
      <c r="M136" s="71"/>
      <c r="N136" s="71"/>
    </row>
    <row r="137" spans="6:14" ht="15" customHeight="1">
      <c r="F137" s="146"/>
      <c r="G137" s="71"/>
      <c r="H137" s="71"/>
      <c r="I137" s="140"/>
      <c r="J137" s="140"/>
      <c r="K137" s="71"/>
      <c r="L137" s="71"/>
      <c r="M137" s="71"/>
      <c r="N137" s="71"/>
    </row>
    <row r="138" spans="6:14" ht="15" customHeight="1">
      <c r="F138" s="146"/>
      <c r="G138" s="71"/>
      <c r="H138" s="71"/>
      <c r="I138" s="140"/>
      <c r="J138" s="140"/>
      <c r="K138" s="71"/>
      <c r="L138" s="71"/>
      <c r="M138" s="71"/>
      <c r="N138" s="71"/>
    </row>
    <row r="139" spans="6:14" ht="15" customHeight="1">
      <c r="F139" s="146"/>
      <c r="G139" s="71"/>
      <c r="H139" s="71"/>
      <c r="I139" s="140"/>
      <c r="J139" s="140"/>
      <c r="K139" s="71"/>
      <c r="L139" s="71"/>
      <c r="M139" s="71"/>
      <c r="N139" s="71"/>
    </row>
  </sheetData>
  <sheetProtection/>
  <mergeCells count="35">
    <mergeCell ref="B1:D1"/>
    <mergeCell ref="B2:D2"/>
    <mergeCell ref="B3:D3"/>
    <mergeCell ref="B4:D4"/>
    <mergeCell ref="F25:H25"/>
    <mergeCell ref="F26:H26"/>
    <mergeCell ref="F1:H1"/>
    <mergeCell ref="F2:H2"/>
    <mergeCell ref="F3:H3"/>
    <mergeCell ref="F4:H4"/>
    <mergeCell ref="F27:H27"/>
    <mergeCell ref="F49:H49"/>
    <mergeCell ref="F50:H50"/>
    <mergeCell ref="B25:D25"/>
    <mergeCell ref="B26:D26"/>
    <mergeCell ref="B27:D27"/>
    <mergeCell ref="B28:D28"/>
    <mergeCell ref="B49:D49"/>
    <mergeCell ref="B50:D50"/>
    <mergeCell ref="N48:P48"/>
    <mergeCell ref="N49:P49"/>
    <mergeCell ref="N50:P50"/>
    <mergeCell ref="N51:P51"/>
    <mergeCell ref="J51:L51"/>
    <mergeCell ref="B51:D51"/>
    <mergeCell ref="N25:P25"/>
    <mergeCell ref="N26:P26"/>
    <mergeCell ref="N27:P27"/>
    <mergeCell ref="N28:P28"/>
    <mergeCell ref="J49:L49"/>
    <mergeCell ref="J50:L50"/>
    <mergeCell ref="J25:L25"/>
    <mergeCell ref="J26:L26"/>
    <mergeCell ref="J27:L27"/>
    <mergeCell ref="J28:L28"/>
  </mergeCells>
  <printOptions horizontalCentered="1"/>
  <pageMargins left="0.7874015748031497" right="0.3937007874015748" top="0.3937007874015748" bottom="0.7874015748031497" header="0" footer="0"/>
  <pageSetup fitToHeight="1" fitToWidth="1" horizontalDpi="300" verticalDpi="3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L22"/>
  <sheetViews>
    <sheetView zoomScalePageLayoutView="0" workbookViewId="0" topLeftCell="A1">
      <selection activeCell="L20" sqref="L20"/>
    </sheetView>
  </sheetViews>
  <sheetFormatPr defaultColWidth="11.421875" defaultRowHeight="12.75"/>
  <cols>
    <col min="2" max="2" width="21.00390625" style="0" customWidth="1"/>
    <col min="3" max="3" width="11.421875" style="0" customWidth="1"/>
    <col min="4" max="4" width="11.8515625" style="0" customWidth="1"/>
  </cols>
  <sheetData>
    <row r="2" spans="2:12" ht="15">
      <c r="B2" s="486" t="s">
        <v>185</v>
      </c>
      <c r="C2" s="486"/>
      <c r="D2" s="486"/>
      <c r="E2" s="486"/>
      <c r="F2" s="486"/>
      <c r="G2" s="486"/>
      <c r="H2" s="486"/>
      <c r="I2" s="486"/>
      <c r="J2" s="486"/>
      <c r="K2" s="486"/>
      <c r="L2" s="486"/>
    </row>
    <row r="3" spans="2:12" ht="15">
      <c r="B3" s="486" t="s">
        <v>186</v>
      </c>
      <c r="C3" s="486"/>
      <c r="D3" s="486"/>
      <c r="E3" s="486"/>
      <c r="F3" s="486"/>
      <c r="G3" s="486"/>
      <c r="H3" s="486"/>
      <c r="I3" s="486"/>
      <c r="J3" s="486"/>
      <c r="K3" s="486"/>
      <c r="L3" s="486"/>
    </row>
    <row r="4" spans="2:12" ht="15">
      <c r="B4" s="486" t="s">
        <v>187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</row>
    <row r="5" ht="9" customHeight="1" thickBot="1"/>
    <row r="6" spans="2:12" ht="23.25" customHeight="1" thickBot="1">
      <c r="B6" s="435" t="s">
        <v>177</v>
      </c>
      <c r="C6" s="437">
        <v>2012</v>
      </c>
      <c r="D6" s="437">
        <v>2013</v>
      </c>
      <c r="E6" s="437">
        <v>2014</v>
      </c>
      <c r="F6" s="437">
        <v>2015</v>
      </c>
      <c r="G6" s="437">
        <v>2016</v>
      </c>
      <c r="H6" s="436">
        <v>2017</v>
      </c>
      <c r="I6" s="447">
        <v>2018</v>
      </c>
      <c r="J6" s="437">
        <v>2019</v>
      </c>
      <c r="K6" s="437">
        <v>2020</v>
      </c>
      <c r="L6" s="437">
        <v>2021</v>
      </c>
    </row>
    <row r="7" spans="2:12" ht="15">
      <c r="B7" s="327"/>
      <c r="C7" s="88"/>
      <c r="D7" s="23"/>
      <c r="E7" s="23"/>
      <c r="F7" s="23"/>
      <c r="G7" s="23"/>
      <c r="H7" s="442"/>
      <c r="I7" s="442"/>
      <c r="J7" s="442"/>
      <c r="K7" s="23"/>
      <c r="L7" s="526"/>
    </row>
    <row r="8" spans="2:12" ht="15">
      <c r="B8" s="244" t="s">
        <v>155</v>
      </c>
      <c r="C8" s="89">
        <v>21.1</v>
      </c>
      <c r="D8" s="433">
        <v>24.2</v>
      </c>
      <c r="E8" s="433">
        <v>22.6</v>
      </c>
      <c r="F8" s="433">
        <v>19.5</v>
      </c>
      <c r="G8" s="433">
        <v>18.4</v>
      </c>
      <c r="H8" s="443">
        <v>18.9</v>
      </c>
      <c r="I8" s="443">
        <v>19.6</v>
      </c>
      <c r="J8" s="443">
        <v>21.3</v>
      </c>
      <c r="K8" s="433">
        <v>21.3</v>
      </c>
      <c r="L8" s="527">
        <v>20.6</v>
      </c>
    </row>
    <row r="9" spans="2:12" ht="15">
      <c r="B9" s="244"/>
      <c r="C9" s="89"/>
      <c r="D9" s="433"/>
      <c r="E9" s="433"/>
      <c r="F9" s="433"/>
      <c r="G9" s="433"/>
      <c r="H9" s="443"/>
      <c r="I9" s="443"/>
      <c r="J9" s="443"/>
      <c r="K9" s="433"/>
      <c r="L9" s="527"/>
    </row>
    <row r="10" spans="2:12" ht="15">
      <c r="B10" s="244" t="s">
        <v>16</v>
      </c>
      <c r="C10" s="89">
        <v>15.2</v>
      </c>
      <c r="D10" s="433">
        <v>18.5</v>
      </c>
      <c r="E10" s="433">
        <v>17</v>
      </c>
      <c r="F10" s="433">
        <v>16.1</v>
      </c>
      <c r="G10" s="433">
        <v>16.1</v>
      </c>
      <c r="H10" s="443">
        <v>14.7</v>
      </c>
      <c r="I10" s="443">
        <v>15.32</v>
      </c>
      <c r="J10" s="443">
        <v>15.6</v>
      </c>
      <c r="K10" s="433">
        <v>15.3</v>
      </c>
      <c r="L10" s="527">
        <v>12.8</v>
      </c>
    </row>
    <row r="11" spans="2:12" ht="15">
      <c r="B11" s="244"/>
      <c r="C11" s="89"/>
      <c r="D11" s="433"/>
      <c r="E11" s="433"/>
      <c r="F11" s="433"/>
      <c r="G11" s="433"/>
      <c r="H11" s="443"/>
      <c r="I11" s="443"/>
      <c r="J11" s="443"/>
      <c r="K11" s="433"/>
      <c r="L11" s="527"/>
    </row>
    <row r="12" spans="2:12" ht="15">
      <c r="B12" s="244" t="s">
        <v>18</v>
      </c>
      <c r="C12" s="89">
        <v>23</v>
      </c>
      <c r="D12" s="433">
        <v>23.1</v>
      </c>
      <c r="E12" s="433">
        <v>22.9</v>
      </c>
      <c r="F12" s="433">
        <v>19.1</v>
      </c>
      <c r="G12" s="433">
        <v>15.3</v>
      </c>
      <c r="H12" s="443">
        <v>17.4</v>
      </c>
      <c r="I12" s="448">
        <v>18.97</v>
      </c>
      <c r="J12" s="448">
        <v>20.4</v>
      </c>
      <c r="K12" s="433">
        <v>17.2</v>
      </c>
      <c r="L12" s="528">
        <v>18.1</v>
      </c>
    </row>
    <row r="13" spans="2:12" ht="15">
      <c r="B13" s="244"/>
      <c r="C13" s="89"/>
      <c r="D13" s="433"/>
      <c r="E13" s="433"/>
      <c r="F13" s="433"/>
      <c r="G13" s="433"/>
      <c r="H13" s="443"/>
      <c r="I13" s="443"/>
      <c r="J13" s="443"/>
      <c r="K13" s="433"/>
      <c r="L13" s="527"/>
    </row>
    <row r="14" spans="2:12" ht="15">
      <c r="B14" s="244" t="s">
        <v>19</v>
      </c>
      <c r="C14" s="89">
        <v>24.5</v>
      </c>
      <c r="D14" s="433">
        <v>24.4</v>
      </c>
      <c r="E14" s="433">
        <v>23</v>
      </c>
      <c r="F14" s="433">
        <v>19.6</v>
      </c>
      <c r="G14" s="433">
        <v>18.6</v>
      </c>
      <c r="H14" s="443">
        <v>18.8</v>
      </c>
      <c r="I14" s="443">
        <v>18.91</v>
      </c>
      <c r="J14" s="443">
        <v>19.3</v>
      </c>
      <c r="K14" s="433">
        <v>19.8</v>
      </c>
      <c r="L14" s="527">
        <v>20.5</v>
      </c>
    </row>
    <row r="15" spans="2:12" ht="15">
      <c r="B15" s="244"/>
      <c r="C15" s="89"/>
      <c r="D15" s="433"/>
      <c r="E15" s="433"/>
      <c r="F15" s="433"/>
      <c r="G15" s="433"/>
      <c r="H15" s="443"/>
      <c r="I15" s="443"/>
      <c r="J15" s="443"/>
      <c r="K15" s="433"/>
      <c r="L15" s="527"/>
    </row>
    <row r="16" spans="2:12" ht="15">
      <c r="B16" s="244" t="s">
        <v>17</v>
      </c>
      <c r="C16" s="89">
        <v>18.5</v>
      </c>
      <c r="D16" s="433">
        <v>17.7</v>
      </c>
      <c r="E16" s="433">
        <v>17.3</v>
      </c>
      <c r="F16" s="433">
        <v>15.2</v>
      </c>
      <c r="G16" s="433">
        <v>13.9</v>
      </c>
      <c r="H16" s="443">
        <v>14.5</v>
      </c>
      <c r="I16" s="443">
        <v>15.29</v>
      </c>
      <c r="J16" s="443">
        <v>19</v>
      </c>
      <c r="K16" s="433">
        <v>17.8</v>
      </c>
      <c r="L16" s="527">
        <v>18.3</v>
      </c>
    </row>
    <row r="17" spans="2:12" ht="15">
      <c r="B17" s="244"/>
      <c r="C17" s="89"/>
      <c r="D17" s="433"/>
      <c r="E17" s="433"/>
      <c r="F17" s="433"/>
      <c r="G17" s="433"/>
      <c r="H17" s="443"/>
      <c r="I17" s="443"/>
      <c r="J17" s="443"/>
      <c r="K17" s="433"/>
      <c r="L17" s="527"/>
    </row>
    <row r="18" spans="2:12" ht="15">
      <c r="B18" s="244" t="s">
        <v>20</v>
      </c>
      <c r="C18" s="89">
        <v>20.1</v>
      </c>
      <c r="D18" s="433">
        <v>21.1</v>
      </c>
      <c r="E18" s="433">
        <v>21.6</v>
      </c>
      <c r="F18" s="433">
        <v>20.4</v>
      </c>
      <c r="G18" s="433">
        <v>19.1</v>
      </c>
      <c r="H18" s="443">
        <v>18.8</v>
      </c>
      <c r="I18" s="443">
        <v>18.8</v>
      </c>
      <c r="J18" s="443">
        <v>19.3</v>
      </c>
      <c r="K18" s="433">
        <v>21.8</v>
      </c>
      <c r="L18" s="527">
        <v>19.5</v>
      </c>
    </row>
    <row r="19" spans="2:12" ht="15">
      <c r="B19" s="244"/>
      <c r="C19" s="89"/>
      <c r="D19" s="433"/>
      <c r="E19" s="433"/>
      <c r="F19" s="433"/>
      <c r="G19" s="433"/>
      <c r="H19" s="443"/>
      <c r="I19" s="443"/>
      <c r="J19" s="443"/>
      <c r="K19" s="433"/>
      <c r="L19" s="527"/>
    </row>
    <row r="20" spans="2:12" ht="15.75" thickBot="1">
      <c r="B20" s="309" t="s">
        <v>100</v>
      </c>
      <c r="C20" s="212">
        <v>17.1</v>
      </c>
      <c r="D20" s="434">
        <v>18.9</v>
      </c>
      <c r="E20" s="434">
        <v>18.8</v>
      </c>
      <c r="F20" s="434">
        <v>19.9</v>
      </c>
      <c r="G20" s="434">
        <v>16.2</v>
      </c>
      <c r="H20" s="444">
        <v>17.3</v>
      </c>
      <c r="I20" s="444">
        <v>17.7</v>
      </c>
      <c r="J20" s="444">
        <v>18.1</v>
      </c>
      <c r="K20" s="434">
        <v>17.9</v>
      </c>
      <c r="L20" s="529">
        <v>16.3</v>
      </c>
    </row>
    <row r="21" spans="2:4" ht="15">
      <c r="B21" s="21"/>
      <c r="C21" s="17"/>
      <c r="D21" s="17"/>
    </row>
    <row r="22" ht="12.75">
      <c r="B22" s="429" t="s">
        <v>181</v>
      </c>
    </row>
  </sheetData>
  <sheetProtection/>
  <mergeCells count="3">
    <mergeCell ref="B2:L2"/>
    <mergeCell ref="B3:L3"/>
    <mergeCell ref="B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B1:N6"/>
  <sheetViews>
    <sheetView zoomScalePageLayoutView="0" workbookViewId="0" topLeftCell="A1">
      <selection activeCell="O19" sqref="O19"/>
    </sheetView>
  </sheetViews>
  <sheetFormatPr defaultColWidth="10.7109375" defaultRowHeight="15" customHeight="1"/>
  <cols>
    <col min="1" max="1" width="2.7109375" style="0" customWidth="1"/>
    <col min="2" max="9" width="10.7109375" style="0" customWidth="1"/>
    <col min="10" max="10" width="2.7109375" style="0" customWidth="1"/>
  </cols>
  <sheetData>
    <row r="1" spans="2:9" ht="15" customHeight="1">
      <c r="B1" s="466" t="s">
        <v>102</v>
      </c>
      <c r="C1" s="466"/>
      <c r="D1" s="466"/>
      <c r="E1" s="466"/>
      <c r="F1" s="466"/>
      <c r="G1" s="466"/>
      <c r="H1" s="466"/>
      <c r="I1" s="466"/>
    </row>
    <row r="2" spans="2:9" ht="15" customHeight="1">
      <c r="B2" s="466" t="s">
        <v>21</v>
      </c>
      <c r="C2" s="466"/>
      <c r="D2" s="466"/>
      <c r="E2" s="466"/>
      <c r="F2" s="466"/>
      <c r="G2" s="466"/>
      <c r="H2" s="466"/>
      <c r="I2" s="466"/>
    </row>
    <row r="3" spans="2:9" ht="15" customHeight="1" thickBot="1">
      <c r="B3" s="466">
        <v>2021</v>
      </c>
      <c r="C3" s="466"/>
      <c r="D3" s="466"/>
      <c r="E3" s="466"/>
      <c r="F3" s="466"/>
      <c r="G3" s="466"/>
      <c r="H3" s="466"/>
      <c r="I3" s="466"/>
    </row>
    <row r="4" spans="11:14" ht="15" customHeight="1" thickBot="1">
      <c r="K4" s="257" t="s">
        <v>134</v>
      </c>
      <c r="L4" s="260" t="s">
        <v>144</v>
      </c>
      <c r="M4" s="263" t="s">
        <v>135</v>
      </c>
      <c r="N4" s="264" t="s">
        <v>79</v>
      </c>
    </row>
    <row r="5" spans="11:14" ht="15" customHeight="1">
      <c r="K5" s="175">
        <v>547604</v>
      </c>
      <c r="L5" s="176">
        <v>494237</v>
      </c>
      <c r="M5" s="176">
        <v>170628</v>
      </c>
      <c r="N5" s="186">
        <f>SUM(K5:M5)</f>
        <v>1212469</v>
      </c>
    </row>
    <row r="6" spans="11:14" ht="15" customHeight="1" thickBot="1">
      <c r="K6" s="151">
        <f>+K5/N5</f>
        <v>0.4516437121278977</v>
      </c>
      <c r="L6" s="184">
        <f>+L5/N5</f>
        <v>0.4076285661736506</v>
      </c>
      <c r="M6" s="184">
        <f>+M5/N5</f>
        <v>0.14072772169845169</v>
      </c>
      <c r="N6" s="185">
        <f>SUM(K6:M6)</f>
        <v>1</v>
      </c>
    </row>
  </sheetData>
  <sheetProtection/>
  <mergeCells count="3">
    <mergeCell ref="B1:I1"/>
    <mergeCell ref="B2:I2"/>
    <mergeCell ref="B3:I3"/>
  </mergeCells>
  <printOptions horizontalCentered="1"/>
  <pageMargins left="0.79" right="0.75" top="0.73" bottom="1" header="0.5118110236220472" footer="0.5118110236220472"/>
  <pageSetup blackAndWhite="1"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</sheetPr>
  <dimension ref="A1:J41"/>
  <sheetViews>
    <sheetView zoomScalePageLayoutView="0" workbookViewId="0" topLeftCell="A1">
      <selection activeCell="M24" sqref="M24"/>
    </sheetView>
  </sheetViews>
  <sheetFormatPr defaultColWidth="11.421875" defaultRowHeight="12.75"/>
  <cols>
    <col min="1" max="1" width="2.7109375" style="138" customWidth="1"/>
    <col min="2" max="2" width="18.7109375" style="95" customWidth="1"/>
    <col min="3" max="3" width="23.421875" style="153" customWidth="1"/>
    <col min="4" max="6" width="15.7109375" style="153" customWidth="1"/>
  </cols>
  <sheetData>
    <row r="1" spans="2:10" s="4" customFormat="1" ht="15" customHeight="1">
      <c r="B1" s="523" t="s">
        <v>184</v>
      </c>
      <c r="C1" s="523"/>
      <c r="D1" s="523"/>
      <c r="E1" s="523"/>
      <c r="F1" s="523"/>
      <c r="G1" s="523"/>
      <c r="H1" s="523"/>
      <c r="I1" s="523"/>
      <c r="J1" s="523"/>
    </row>
    <row r="2" spans="2:10" s="4" customFormat="1" ht="15" customHeight="1">
      <c r="B2" s="522" t="s">
        <v>174</v>
      </c>
      <c r="C2" s="522"/>
      <c r="D2" s="522"/>
      <c r="E2" s="522"/>
      <c r="F2" s="522"/>
      <c r="G2" s="522"/>
      <c r="H2" s="522"/>
      <c r="I2" s="522"/>
      <c r="J2" s="522"/>
    </row>
    <row r="3" spans="2:10" s="4" customFormat="1" ht="15" customHeight="1">
      <c r="B3" s="522" t="s">
        <v>173</v>
      </c>
      <c r="C3" s="522"/>
      <c r="D3" s="522"/>
      <c r="E3" s="522"/>
      <c r="F3" s="522"/>
      <c r="G3" s="522"/>
      <c r="H3" s="522"/>
      <c r="I3" s="522"/>
      <c r="J3" s="522"/>
    </row>
    <row r="4" spans="2:10" s="4" customFormat="1" ht="15" customHeight="1">
      <c r="B4" s="523" t="s">
        <v>139</v>
      </c>
      <c r="C4" s="523"/>
      <c r="D4" s="523"/>
      <c r="E4" s="523"/>
      <c r="F4" s="523"/>
      <c r="G4" s="523"/>
      <c r="H4" s="523"/>
      <c r="I4" s="523"/>
      <c r="J4" s="523"/>
    </row>
    <row r="5" spans="2:10" s="4" customFormat="1" ht="15" customHeight="1" thickBot="1">
      <c r="B5" s="524"/>
      <c r="C5" s="524"/>
      <c r="D5" s="524"/>
      <c r="E5" s="524"/>
      <c r="F5" s="524"/>
      <c r="G5" s="524"/>
      <c r="H5" s="524"/>
      <c r="I5" s="524"/>
      <c r="J5" s="524"/>
    </row>
    <row r="6" spans="2:10" ht="12.75">
      <c r="B6" s="510" t="s">
        <v>165</v>
      </c>
      <c r="C6" s="514" t="s">
        <v>164</v>
      </c>
      <c r="D6" s="502" t="s">
        <v>167</v>
      </c>
      <c r="E6" s="502" t="s">
        <v>166</v>
      </c>
      <c r="F6" s="502" t="s">
        <v>168</v>
      </c>
      <c r="G6" s="502" t="s">
        <v>169</v>
      </c>
      <c r="H6" s="502" t="s">
        <v>170</v>
      </c>
      <c r="I6" s="502" t="s">
        <v>171</v>
      </c>
      <c r="J6" s="505" t="s">
        <v>172</v>
      </c>
    </row>
    <row r="7" spans="2:10" ht="12.75" customHeight="1">
      <c r="B7" s="511"/>
      <c r="C7" s="515"/>
      <c r="D7" s="503"/>
      <c r="E7" s="503"/>
      <c r="F7" s="503"/>
      <c r="G7" s="503"/>
      <c r="H7" s="503"/>
      <c r="I7" s="503"/>
      <c r="J7" s="506"/>
    </row>
    <row r="8" spans="2:10" ht="12.75">
      <c r="B8" s="511"/>
      <c r="C8" s="515"/>
      <c r="D8" s="503"/>
      <c r="E8" s="503"/>
      <c r="F8" s="503"/>
      <c r="G8" s="503"/>
      <c r="H8" s="503"/>
      <c r="I8" s="503"/>
      <c r="J8" s="506"/>
    </row>
    <row r="9" spans="2:10" ht="12.75">
      <c r="B9" s="512"/>
      <c r="C9" s="516"/>
      <c r="D9" s="503"/>
      <c r="E9" s="503"/>
      <c r="F9" s="503"/>
      <c r="G9" s="503"/>
      <c r="H9" s="503"/>
      <c r="I9" s="503"/>
      <c r="J9" s="506"/>
    </row>
    <row r="10" spans="1:10" ht="13.5" customHeight="1" thickBot="1">
      <c r="A10" s="3"/>
      <c r="B10" s="513"/>
      <c r="C10" s="517"/>
      <c r="D10" s="504"/>
      <c r="E10" s="504"/>
      <c r="F10" s="504"/>
      <c r="G10" s="504"/>
      <c r="H10" s="504"/>
      <c r="I10" s="504"/>
      <c r="J10" s="507"/>
    </row>
    <row r="11" spans="1:10" ht="24.75" customHeight="1" thickBot="1">
      <c r="A11" s="3"/>
      <c r="B11" s="372">
        <v>2016</v>
      </c>
      <c r="C11" s="373"/>
      <c r="D11" s="387"/>
      <c r="E11" s="374"/>
      <c r="F11" s="380"/>
      <c r="G11" s="387"/>
      <c r="H11" s="387"/>
      <c r="I11" s="387"/>
      <c r="J11" s="375"/>
    </row>
    <row r="12" spans="2:10" ht="13.5" thickTop="1">
      <c r="B12" s="508" t="s">
        <v>87</v>
      </c>
      <c r="C12" s="419" t="s">
        <v>156</v>
      </c>
      <c r="D12" s="414">
        <v>14.14</v>
      </c>
      <c r="E12" s="412">
        <v>14.11</v>
      </c>
      <c r="F12" s="413">
        <v>7.28</v>
      </c>
      <c r="G12" s="414">
        <v>9.19</v>
      </c>
      <c r="H12" s="414">
        <v>10.84</v>
      </c>
      <c r="I12" s="414">
        <v>8.16</v>
      </c>
      <c r="J12" s="415">
        <v>10.76</v>
      </c>
    </row>
    <row r="13" spans="2:10" ht="12.75">
      <c r="B13" s="501"/>
      <c r="C13" s="420" t="s">
        <v>157</v>
      </c>
      <c r="D13" s="369">
        <v>19.2</v>
      </c>
      <c r="E13" s="369">
        <v>14.11</v>
      </c>
      <c r="F13" s="381">
        <v>7.46</v>
      </c>
      <c r="G13" s="369">
        <v>11.15</v>
      </c>
      <c r="H13" s="369">
        <v>13.27</v>
      </c>
      <c r="I13" s="369">
        <v>8.49</v>
      </c>
      <c r="J13" s="386">
        <v>10.2</v>
      </c>
    </row>
    <row r="14" spans="2:10" ht="12.75">
      <c r="B14" s="501"/>
      <c r="C14" s="420" t="s">
        <v>158</v>
      </c>
      <c r="D14" s="369">
        <v>18.69</v>
      </c>
      <c r="E14" s="369">
        <v>14.11</v>
      </c>
      <c r="F14" s="381">
        <v>13.6</v>
      </c>
      <c r="G14" s="369">
        <v>15.47</v>
      </c>
      <c r="H14" s="369">
        <v>14.52</v>
      </c>
      <c r="I14" s="369">
        <v>17.88</v>
      </c>
      <c r="J14" s="386">
        <v>10.93</v>
      </c>
    </row>
    <row r="15" spans="2:10" ht="13.5" thickBot="1">
      <c r="B15" s="509"/>
      <c r="C15" s="421" t="s">
        <v>159</v>
      </c>
      <c r="D15" s="426">
        <v>19.8</v>
      </c>
      <c r="E15" s="416">
        <v>22.41</v>
      </c>
      <c r="F15" s="417">
        <v>14.02</v>
      </c>
      <c r="G15" s="370">
        <v>14.99</v>
      </c>
      <c r="H15" s="370">
        <v>15.42</v>
      </c>
      <c r="I15" s="370">
        <v>22.95</v>
      </c>
      <c r="J15" s="418">
        <v>17.31</v>
      </c>
    </row>
    <row r="16" spans="2:10" ht="12.75">
      <c r="B16" s="518" t="s">
        <v>88</v>
      </c>
      <c r="C16" s="422" t="s">
        <v>160</v>
      </c>
      <c r="D16" s="368">
        <v>19.9</v>
      </c>
      <c r="E16" s="368">
        <v>21.25</v>
      </c>
      <c r="F16" s="382">
        <v>13.46</v>
      </c>
      <c r="G16" s="399">
        <v>14.94</v>
      </c>
      <c r="H16" s="399">
        <v>17.43</v>
      </c>
      <c r="I16" s="399">
        <v>19.36</v>
      </c>
      <c r="J16" s="400">
        <v>17.3</v>
      </c>
    </row>
    <row r="17" spans="2:10" ht="12.75">
      <c r="B17" s="519"/>
      <c r="C17" s="252" t="s">
        <v>161</v>
      </c>
      <c r="D17" s="369">
        <v>19.12</v>
      </c>
      <c r="E17" s="369">
        <v>18.46</v>
      </c>
      <c r="F17" s="381">
        <v>11.02</v>
      </c>
      <c r="G17" s="401">
        <v>17.89</v>
      </c>
      <c r="H17" s="401">
        <v>14.08</v>
      </c>
      <c r="I17" s="401">
        <v>20.29</v>
      </c>
      <c r="J17" s="402">
        <v>16.72</v>
      </c>
    </row>
    <row r="18" spans="2:10" ht="12.75">
      <c r="B18" s="519"/>
      <c r="C18" s="252" t="s">
        <v>162</v>
      </c>
      <c r="D18" s="369">
        <v>15.29</v>
      </c>
      <c r="E18" s="369">
        <v>18.47</v>
      </c>
      <c r="F18" s="381">
        <v>11.02</v>
      </c>
      <c r="G18" s="401">
        <v>11.52</v>
      </c>
      <c r="H18" s="401">
        <v>12.77</v>
      </c>
      <c r="I18" s="401">
        <v>19.98</v>
      </c>
      <c r="J18" s="403">
        <v>13.62</v>
      </c>
    </row>
    <row r="19" spans="2:10" ht="13.5" thickBot="1">
      <c r="B19" s="519"/>
      <c r="C19" s="390"/>
      <c r="D19" s="388"/>
      <c r="E19" s="369"/>
      <c r="F19" s="381"/>
      <c r="G19" s="401"/>
      <c r="H19" s="401"/>
      <c r="I19" s="401"/>
      <c r="J19" s="402"/>
    </row>
    <row r="20" spans="2:10" ht="12.75">
      <c r="B20" s="521" t="s">
        <v>89</v>
      </c>
      <c r="C20" s="423" t="s">
        <v>161</v>
      </c>
      <c r="D20" s="368">
        <v>19.12</v>
      </c>
      <c r="E20" s="389">
        <v>18.46</v>
      </c>
      <c r="F20" s="382">
        <v>11.02</v>
      </c>
      <c r="G20" s="406">
        <v>15.27</v>
      </c>
      <c r="H20" s="406">
        <v>14.08</v>
      </c>
      <c r="I20" s="406">
        <v>18.43</v>
      </c>
      <c r="J20" s="407">
        <v>16.72</v>
      </c>
    </row>
    <row r="21" spans="2:10" ht="12.75">
      <c r="B21" s="521"/>
      <c r="C21" s="252" t="s">
        <v>162</v>
      </c>
      <c r="D21" s="391">
        <v>15.29</v>
      </c>
      <c r="E21" s="217">
        <v>18.47</v>
      </c>
      <c r="F21" s="384">
        <v>11.04</v>
      </c>
      <c r="G21" s="408">
        <v>11.65</v>
      </c>
      <c r="H21" s="408">
        <v>12.77</v>
      </c>
      <c r="I21" s="408">
        <v>16</v>
      </c>
      <c r="J21" s="409">
        <v>13.62</v>
      </c>
    </row>
    <row r="22" spans="2:10" ht="15.75" customHeight="1">
      <c r="B22" s="519"/>
      <c r="C22" s="252" t="s">
        <v>163</v>
      </c>
      <c r="D22" s="369">
        <v>15.23</v>
      </c>
      <c r="E22" s="218">
        <v>18.47</v>
      </c>
      <c r="F22" s="381">
        <v>11.03</v>
      </c>
      <c r="G22" s="408">
        <v>11.54</v>
      </c>
      <c r="H22" s="408">
        <v>12.52</v>
      </c>
      <c r="I22" s="408">
        <v>16.45</v>
      </c>
      <c r="J22" s="409">
        <v>10.92</v>
      </c>
    </row>
    <row r="23" spans="2:10" ht="13.5" thickBot="1">
      <c r="B23" s="525"/>
      <c r="C23" s="390"/>
      <c r="D23" s="388"/>
      <c r="E23" s="367"/>
      <c r="F23" s="385"/>
      <c r="G23" s="404"/>
      <c r="H23" s="404"/>
      <c r="I23" s="404"/>
      <c r="J23" s="405"/>
    </row>
    <row r="24" spans="2:10" ht="24.75" customHeight="1" thickBot="1" thickTop="1">
      <c r="B24" s="393">
        <v>2015</v>
      </c>
      <c r="C24" s="394"/>
      <c r="D24" s="397"/>
      <c r="E24" s="395"/>
      <c r="F24" s="396"/>
      <c r="G24" s="397"/>
      <c r="H24" s="397"/>
      <c r="I24" s="397"/>
      <c r="J24" s="398"/>
    </row>
    <row r="25" spans="2:10" ht="12.75">
      <c r="B25" s="501" t="s">
        <v>87</v>
      </c>
      <c r="C25" s="424" t="s">
        <v>156</v>
      </c>
      <c r="D25" s="391"/>
      <c r="E25" s="217">
        <v>15.5</v>
      </c>
      <c r="F25" s="384">
        <v>7.68</v>
      </c>
      <c r="G25" s="391">
        <v>9.13</v>
      </c>
      <c r="H25" s="391">
        <v>10.34</v>
      </c>
      <c r="I25" s="391">
        <v>8.51</v>
      </c>
      <c r="J25" s="392">
        <v>11.45</v>
      </c>
    </row>
    <row r="26" spans="2:10" ht="12.75">
      <c r="B26" s="501"/>
      <c r="C26" s="420" t="s">
        <v>157</v>
      </c>
      <c r="D26" s="391"/>
      <c r="E26" s="217">
        <v>15.5</v>
      </c>
      <c r="F26" s="384">
        <v>7.87</v>
      </c>
      <c r="G26" s="369">
        <v>11.11</v>
      </c>
      <c r="H26" s="369">
        <v>10.12</v>
      </c>
      <c r="I26" s="369">
        <v>8.91</v>
      </c>
      <c r="J26" s="386">
        <v>11.4</v>
      </c>
    </row>
    <row r="27" spans="2:10" ht="12.75">
      <c r="B27" s="501"/>
      <c r="C27" s="420" t="s">
        <v>158</v>
      </c>
      <c r="D27" s="391"/>
      <c r="E27" s="217">
        <v>15.5</v>
      </c>
      <c r="F27" s="384">
        <v>17.45</v>
      </c>
      <c r="G27" s="369">
        <v>16.07</v>
      </c>
      <c r="H27" s="369">
        <v>16.68</v>
      </c>
      <c r="I27" s="369">
        <v>22.52</v>
      </c>
      <c r="J27" s="386">
        <v>13.15</v>
      </c>
    </row>
    <row r="28" spans="2:10" ht="13.5" thickBot="1">
      <c r="B28" s="501"/>
      <c r="C28" s="425" t="s">
        <v>159</v>
      </c>
      <c r="D28" s="388"/>
      <c r="E28" s="367">
        <v>24.44</v>
      </c>
      <c r="F28" s="385">
        <v>17.87</v>
      </c>
      <c r="G28" s="388">
        <v>15.73</v>
      </c>
      <c r="H28" s="388">
        <v>19.48</v>
      </c>
      <c r="I28" s="388">
        <v>29.23</v>
      </c>
      <c r="J28" s="376">
        <v>23.14</v>
      </c>
    </row>
    <row r="29" spans="2:10" ht="12.75">
      <c r="B29" s="518" t="s">
        <v>88</v>
      </c>
      <c r="C29" s="422" t="s">
        <v>160</v>
      </c>
      <c r="D29" s="368"/>
      <c r="E29" s="368">
        <v>23.07</v>
      </c>
      <c r="F29" s="382">
        <v>17.3</v>
      </c>
      <c r="G29" s="399">
        <v>15.69</v>
      </c>
      <c r="H29" s="399">
        <v>23.14</v>
      </c>
      <c r="I29" s="399">
        <v>24.69</v>
      </c>
      <c r="J29" s="400">
        <v>23.15</v>
      </c>
    </row>
    <row r="30" spans="2:10" ht="12.75">
      <c r="B30" s="519"/>
      <c r="C30" s="252" t="s">
        <v>161</v>
      </c>
      <c r="D30" s="369"/>
      <c r="E30" s="369">
        <v>20.08</v>
      </c>
      <c r="F30" s="381">
        <v>14.56</v>
      </c>
      <c r="G30" s="401">
        <v>18.69</v>
      </c>
      <c r="H30" s="401">
        <v>23.57</v>
      </c>
      <c r="I30" s="401">
        <v>25.89</v>
      </c>
      <c r="J30" s="402">
        <v>24.58</v>
      </c>
    </row>
    <row r="31" spans="2:10" ht="12.75">
      <c r="B31" s="519"/>
      <c r="C31" s="252" t="s">
        <v>162</v>
      </c>
      <c r="D31" s="369"/>
      <c r="E31" s="369">
        <v>20.1</v>
      </c>
      <c r="F31" s="381">
        <v>14.6</v>
      </c>
      <c r="G31" s="401">
        <v>12.21</v>
      </c>
      <c r="H31" s="401">
        <v>23.6</v>
      </c>
      <c r="I31" s="401">
        <v>25.59</v>
      </c>
      <c r="J31" s="403">
        <v>22.11</v>
      </c>
    </row>
    <row r="32" spans="2:10" ht="13.5" thickBot="1">
      <c r="B32" s="520"/>
      <c r="C32" s="377"/>
      <c r="D32" s="370"/>
      <c r="E32" s="370"/>
      <c r="F32" s="385"/>
      <c r="G32" s="404"/>
      <c r="H32" s="404"/>
      <c r="I32" s="404"/>
      <c r="J32" s="410"/>
    </row>
    <row r="33" spans="2:10" ht="12.75">
      <c r="B33" s="521" t="s">
        <v>89</v>
      </c>
      <c r="C33" s="423" t="s">
        <v>161</v>
      </c>
      <c r="D33" s="391"/>
      <c r="E33" s="217">
        <v>20.08</v>
      </c>
      <c r="F33" s="382">
        <v>14.56</v>
      </c>
      <c r="G33" s="406">
        <v>16.07</v>
      </c>
      <c r="H33" s="406">
        <v>23.61</v>
      </c>
      <c r="I33" s="406">
        <v>23.5</v>
      </c>
      <c r="J33" s="411">
        <v>24.58</v>
      </c>
    </row>
    <row r="34" spans="2:10" ht="12.75">
      <c r="B34" s="521"/>
      <c r="C34" s="252" t="s">
        <v>162</v>
      </c>
      <c r="D34" s="391"/>
      <c r="E34" s="217">
        <v>21.1</v>
      </c>
      <c r="F34" s="384">
        <v>14.58</v>
      </c>
      <c r="G34" s="408">
        <v>12.34</v>
      </c>
      <c r="H34" s="408">
        <v>16.78</v>
      </c>
      <c r="I34" s="408">
        <v>20.48</v>
      </c>
      <c r="J34" s="409">
        <v>22.11</v>
      </c>
    </row>
    <row r="35" spans="2:10" ht="12.75">
      <c r="B35" s="519"/>
      <c r="C35" s="252" t="s">
        <v>163</v>
      </c>
      <c r="D35" s="369"/>
      <c r="E35" s="218">
        <v>20.1</v>
      </c>
      <c r="F35" s="381">
        <v>14.56</v>
      </c>
      <c r="G35" s="408">
        <v>12.24</v>
      </c>
      <c r="H35" s="408">
        <v>16.77</v>
      </c>
      <c r="I35" s="408">
        <v>21.05</v>
      </c>
      <c r="J35" s="409">
        <v>20.28</v>
      </c>
    </row>
    <row r="36" spans="2:10" ht="13.5" thickBot="1">
      <c r="B36" s="520"/>
      <c r="C36" s="377"/>
      <c r="D36" s="370"/>
      <c r="E36" s="378"/>
      <c r="F36" s="383"/>
      <c r="G36" s="371"/>
      <c r="H36" s="371"/>
      <c r="I36" s="371"/>
      <c r="J36" s="379"/>
    </row>
    <row r="37" spans="2:6" ht="12.75">
      <c r="B37" s="177" t="s">
        <v>175</v>
      </c>
      <c r="C37" s="138"/>
      <c r="D37" s="152"/>
      <c r="E37" s="152"/>
      <c r="F37" s="152"/>
    </row>
    <row r="38" spans="2:6" ht="12.75">
      <c r="B38" s="174" t="s">
        <v>176</v>
      </c>
      <c r="C38" s="3"/>
      <c r="D38" s="3"/>
      <c r="E38" s="3"/>
      <c r="F38" s="3"/>
    </row>
    <row r="39" spans="2:6" ht="12.75">
      <c r="B39" s="174"/>
      <c r="C39" s="3"/>
      <c r="D39" s="3"/>
      <c r="E39" s="3"/>
      <c r="F39" s="3"/>
    </row>
    <row r="40" spans="2:6" ht="12.75">
      <c r="B40" s="174"/>
      <c r="C40" s="138"/>
      <c r="D40" s="152"/>
      <c r="E40" s="152"/>
      <c r="F40" s="152"/>
    </row>
    <row r="41" ht="12.75">
      <c r="B41" s="174"/>
    </row>
  </sheetData>
  <sheetProtection/>
  <mergeCells count="20">
    <mergeCell ref="B29:B32"/>
    <mergeCell ref="B33:B36"/>
    <mergeCell ref="B3:J3"/>
    <mergeCell ref="B2:J2"/>
    <mergeCell ref="B1:J1"/>
    <mergeCell ref="B4:J4"/>
    <mergeCell ref="B5:J5"/>
    <mergeCell ref="B16:B19"/>
    <mergeCell ref="B20:B23"/>
    <mergeCell ref="F6:F10"/>
    <mergeCell ref="B25:B28"/>
    <mergeCell ref="D6:D10"/>
    <mergeCell ref="G6:G10"/>
    <mergeCell ref="H6:H10"/>
    <mergeCell ref="I6:I10"/>
    <mergeCell ref="J6:J10"/>
    <mergeCell ref="B12:B15"/>
    <mergeCell ref="B6:B10"/>
    <mergeCell ref="C6:C10"/>
    <mergeCell ref="E6:E10"/>
  </mergeCells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B1:S21"/>
  <sheetViews>
    <sheetView zoomScalePageLayoutView="0" workbookViewId="0" topLeftCell="B1">
      <selection activeCell="M25" sqref="M25"/>
    </sheetView>
  </sheetViews>
  <sheetFormatPr defaultColWidth="10.7109375" defaultRowHeight="15" customHeight="1"/>
  <cols>
    <col min="1" max="1" width="2.7109375" style="0" customWidth="1"/>
    <col min="2" max="11" width="10.7109375" style="0" customWidth="1"/>
    <col min="12" max="12" width="2.7109375" style="0" customWidth="1"/>
    <col min="13" max="14" width="10.7109375" style="0" customWidth="1"/>
    <col min="15" max="18" width="12.7109375" style="0" customWidth="1"/>
    <col min="19" max="19" width="18.140625" style="0" customWidth="1"/>
    <col min="20" max="20" width="11.7109375" style="0" customWidth="1"/>
    <col min="21" max="22" width="10.7109375" style="0" customWidth="1"/>
    <col min="23" max="23" width="12.28125" style="0" customWidth="1"/>
  </cols>
  <sheetData>
    <row r="1" spans="2:11" ht="15" customHeight="1">
      <c r="B1" s="466" t="s">
        <v>103</v>
      </c>
      <c r="C1" s="466"/>
      <c r="D1" s="466"/>
      <c r="E1" s="466"/>
      <c r="F1" s="466"/>
      <c r="G1" s="466"/>
      <c r="H1" s="466"/>
      <c r="I1" s="466"/>
      <c r="J1" s="466"/>
      <c r="K1" s="466"/>
    </row>
    <row r="2" spans="2:11" ht="15" customHeight="1">
      <c r="B2" s="466" t="s">
        <v>22</v>
      </c>
      <c r="C2" s="466"/>
      <c r="D2" s="466"/>
      <c r="E2" s="466"/>
      <c r="F2" s="466"/>
      <c r="G2" s="466"/>
      <c r="H2" s="466"/>
      <c r="I2" s="466"/>
      <c r="J2" s="466"/>
      <c r="K2" s="466"/>
    </row>
    <row r="3" spans="2:11" ht="15" customHeight="1">
      <c r="B3" s="466" t="s">
        <v>133</v>
      </c>
      <c r="C3" s="466"/>
      <c r="D3" s="466"/>
      <c r="E3" s="466"/>
      <c r="F3" s="466"/>
      <c r="G3" s="466"/>
      <c r="H3" s="466"/>
      <c r="I3" s="466"/>
      <c r="J3" s="466"/>
      <c r="K3" s="466"/>
    </row>
    <row r="4" spans="2:11" ht="15" customHeight="1" thickBot="1">
      <c r="B4" s="466">
        <v>2021</v>
      </c>
      <c r="C4" s="466"/>
      <c r="D4" s="466"/>
      <c r="E4" s="466"/>
      <c r="F4" s="466"/>
      <c r="G4" s="466"/>
      <c r="H4" s="466"/>
      <c r="I4" s="466"/>
      <c r="J4" s="466"/>
      <c r="K4" s="466"/>
    </row>
    <row r="5" spans="13:18" ht="15" customHeight="1" thickBot="1">
      <c r="M5" s="469" t="s">
        <v>120</v>
      </c>
      <c r="N5" s="470"/>
      <c r="O5" s="259" t="s">
        <v>134</v>
      </c>
      <c r="P5" s="260" t="s">
        <v>144</v>
      </c>
      <c r="Q5" s="260" t="s">
        <v>135</v>
      </c>
      <c r="R5" s="258" t="s">
        <v>47</v>
      </c>
    </row>
    <row r="6" spans="13:18" ht="15" customHeight="1">
      <c r="M6" s="471"/>
      <c r="N6" s="472"/>
      <c r="O6" s="179"/>
      <c r="P6" s="178"/>
      <c r="Q6" s="178"/>
      <c r="R6" s="233"/>
    </row>
    <row r="7" spans="13:18" ht="15" customHeight="1">
      <c r="M7" s="467" t="s">
        <v>47</v>
      </c>
      <c r="N7" s="468"/>
      <c r="O7" s="67">
        <f>SUM(O9:O15)</f>
        <v>4115131</v>
      </c>
      <c r="P7" s="67">
        <f>SUM(P9:P15)</f>
        <v>2942110</v>
      </c>
      <c r="Q7" s="52">
        <f>SUM(Q9:Q15)</f>
        <v>918862</v>
      </c>
      <c r="R7" s="234">
        <f>SUM(R9:R16)</f>
        <v>9689009</v>
      </c>
    </row>
    <row r="8" spans="13:18" ht="15" customHeight="1">
      <c r="M8" s="467"/>
      <c r="N8" s="468"/>
      <c r="O8" s="135"/>
      <c r="P8" s="132"/>
      <c r="Q8" s="132"/>
      <c r="R8" s="235"/>
    </row>
    <row r="9" spans="13:19" ht="15" customHeight="1">
      <c r="M9" s="467" t="s">
        <v>87</v>
      </c>
      <c r="N9" s="468"/>
      <c r="O9" s="97">
        <v>1473651</v>
      </c>
      <c r="P9" s="53">
        <v>1472819</v>
      </c>
      <c r="Q9" s="53">
        <v>374559</v>
      </c>
      <c r="R9" s="236">
        <f aca="true" t="shared" si="0" ref="R9:R15">SUM(O9:Q9)</f>
        <v>3321029</v>
      </c>
      <c r="S9" s="343"/>
    </row>
    <row r="10" spans="13:19" ht="15" customHeight="1">
      <c r="M10" s="467" t="s">
        <v>88</v>
      </c>
      <c r="N10" s="468"/>
      <c r="O10" s="97">
        <v>1951178</v>
      </c>
      <c r="P10" s="53">
        <v>858134</v>
      </c>
      <c r="Q10" s="53">
        <v>354733</v>
      </c>
      <c r="R10" s="236">
        <f t="shared" si="0"/>
        <v>3164045</v>
      </c>
      <c r="S10" s="343"/>
    </row>
    <row r="11" spans="13:19" ht="15" customHeight="1">
      <c r="M11" s="467" t="s">
        <v>89</v>
      </c>
      <c r="N11" s="468"/>
      <c r="O11" s="97">
        <v>84183</v>
      </c>
      <c r="P11" s="53">
        <v>46482</v>
      </c>
      <c r="Q11" s="53">
        <v>41390</v>
      </c>
      <c r="R11" s="236">
        <f t="shared" si="0"/>
        <v>172055</v>
      </c>
      <c r="S11" s="343"/>
    </row>
    <row r="12" spans="13:19" ht="15" customHeight="1">
      <c r="M12" s="467" t="s">
        <v>90</v>
      </c>
      <c r="N12" s="468"/>
      <c r="O12" s="97">
        <v>482246</v>
      </c>
      <c r="P12" s="53">
        <v>480004</v>
      </c>
      <c r="Q12" s="53">
        <v>105849</v>
      </c>
      <c r="R12" s="236">
        <f t="shared" si="0"/>
        <v>1068099</v>
      </c>
      <c r="S12" s="343"/>
    </row>
    <row r="13" spans="13:19" ht="15" customHeight="1">
      <c r="M13" s="467" t="s">
        <v>94</v>
      </c>
      <c r="N13" s="468"/>
      <c r="O13" s="97">
        <v>120217</v>
      </c>
      <c r="P13" s="53">
        <v>82093</v>
      </c>
      <c r="Q13" s="53">
        <v>41598</v>
      </c>
      <c r="R13" s="236">
        <f t="shared" si="0"/>
        <v>243908</v>
      </c>
      <c r="S13" s="343"/>
    </row>
    <row r="14" spans="13:19" ht="15" customHeight="1">
      <c r="M14" s="467" t="s">
        <v>96</v>
      </c>
      <c r="N14" s="468"/>
      <c r="O14" s="100">
        <v>3656</v>
      </c>
      <c r="P14" s="55"/>
      <c r="Q14" s="55">
        <v>733</v>
      </c>
      <c r="R14" s="237">
        <f t="shared" si="0"/>
        <v>4389</v>
      </c>
      <c r="S14" s="343"/>
    </row>
    <row r="15" spans="13:19" ht="15" customHeight="1">
      <c r="M15" s="467" t="s">
        <v>97</v>
      </c>
      <c r="N15" s="468"/>
      <c r="O15" s="239"/>
      <c r="P15" s="56">
        <v>2578</v>
      </c>
      <c r="Q15" s="240"/>
      <c r="R15" s="237">
        <f t="shared" si="0"/>
        <v>2578</v>
      </c>
      <c r="S15" s="343"/>
    </row>
    <row r="16" spans="13:19" ht="15" customHeight="1" thickBot="1">
      <c r="M16" s="473" t="s">
        <v>40</v>
      </c>
      <c r="N16" s="474"/>
      <c r="O16" s="232"/>
      <c r="P16" s="238"/>
      <c r="Q16" s="238"/>
      <c r="R16" s="241">
        <v>1712906</v>
      </c>
      <c r="S16" s="343"/>
    </row>
    <row r="17" spans="18:19" ht="15" customHeight="1">
      <c r="R17" s="242"/>
      <c r="S17" s="349"/>
    </row>
    <row r="18" spans="13:18" ht="15" customHeight="1">
      <c r="M18" s="261"/>
      <c r="N18" s="261"/>
      <c r="O18" s="207"/>
      <c r="P18" s="207"/>
      <c r="Q18" s="207"/>
      <c r="R18" s="197"/>
    </row>
    <row r="19" spans="13:14" ht="15" customHeight="1">
      <c r="M19" s="262"/>
      <c r="N19" s="262"/>
    </row>
    <row r="20" spans="13:14" ht="15" customHeight="1">
      <c r="M20" s="262"/>
      <c r="N20" s="262"/>
    </row>
    <row r="21" spans="13:14" ht="15" customHeight="1">
      <c r="M21" s="262"/>
      <c r="N21" s="262"/>
    </row>
  </sheetData>
  <sheetProtection/>
  <mergeCells count="16">
    <mergeCell ref="M12:N12"/>
    <mergeCell ref="M15:N15"/>
    <mergeCell ref="M13:N13"/>
    <mergeCell ref="M14:N14"/>
    <mergeCell ref="M16:N16"/>
    <mergeCell ref="M9:N9"/>
    <mergeCell ref="M10:N10"/>
    <mergeCell ref="M11:N11"/>
    <mergeCell ref="B1:K1"/>
    <mergeCell ref="B2:K2"/>
    <mergeCell ref="B3:K3"/>
    <mergeCell ref="B4:K4"/>
    <mergeCell ref="M7:N7"/>
    <mergeCell ref="M8:N8"/>
    <mergeCell ref="M5:N5"/>
    <mergeCell ref="M6:N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B1:P11"/>
  <sheetViews>
    <sheetView zoomScalePageLayoutView="0" workbookViewId="0" topLeftCell="A1">
      <selection activeCell="K22" sqref="K22"/>
    </sheetView>
  </sheetViews>
  <sheetFormatPr defaultColWidth="10.7109375" defaultRowHeight="15" customHeight="1"/>
  <cols>
    <col min="1" max="1" width="2.7109375" style="0" customWidth="1"/>
    <col min="2" max="9" width="10.7109375" style="0" customWidth="1"/>
    <col min="10" max="10" width="4.140625" style="130" customWidth="1"/>
    <col min="11" max="11" width="20.00390625" style="130" customWidth="1"/>
    <col min="12" max="12" width="16.00390625" style="130" customWidth="1"/>
    <col min="13" max="13" width="16.421875" style="130" customWidth="1"/>
    <col min="14" max="14" width="14.28125" style="130" customWidth="1"/>
    <col min="15" max="15" width="10.7109375" style="0" customWidth="1"/>
    <col min="16" max="16" width="12.7109375" style="0" bestFit="1" customWidth="1"/>
  </cols>
  <sheetData>
    <row r="1" spans="2:10" ht="15" customHeight="1">
      <c r="B1" s="475" t="s">
        <v>104</v>
      </c>
      <c r="C1" s="475"/>
      <c r="D1" s="475"/>
      <c r="E1" s="475"/>
      <c r="F1" s="475"/>
      <c r="G1" s="475"/>
      <c r="H1" s="475"/>
      <c r="I1" s="475"/>
      <c r="J1" s="131"/>
    </row>
    <row r="2" spans="2:9" ht="15" customHeight="1">
      <c r="B2" s="476" t="s">
        <v>23</v>
      </c>
      <c r="C2" s="476"/>
      <c r="D2" s="476"/>
      <c r="E2" s="476"/>
      <c r="F2" s="476"/>
      <c r="G2" s="476"/>
      <c r="H2" s="476"/>
      <c r="I2" s="476"/>
    </row>
    <row r="3" spans="2:9" ht="15" customHeight="1">
      <c r="B3" s="476" t="s">
        <v>133</v>
      </c>
      <c r="C3" s="476"/>
      <c r="D3" s="476"/>
      <c r="E3" s="476"/>
      <c r="F3" s="476"/>
      <c r="G3" s="476"/>
      <c r="H3" s="476"/>
      <c r="I3" s="476"/>
    </row>
    <row r="4" spans="2:9" ht="15" customHeight="1" thickBot="1">
      <c r="B4" s="476">
        <v>2021</v>
      </c>
      <c r="C4" s="476"/>
      <c r="D4" s="476"/>
      <c r="E4" s="476"/>
      <c r="F4" s="476"/>
      <c r="G4" s="476"/>
      <c r="H4" s="476"/>
      <c r="I4" s="476"/>
    </row>
    <row r="5" spans="11:14" ht="15" customHeight="1" thickBot="1">
      <c r="K5" s="254" t="s">
        <v>134</v>
      </c>
      <c r="L5" s="255" t="s">
        <v>144</v>
      </c>
      <c r="M5" s="255" t="s">
        <v>135</v>
      </c>
      <c r="N5" s="256" t="s">
        <v>47</v>
      </c>
    </row>
    <row r="6" spans="11:14" ht="15" customHeight="1">
      <c r="K6" s="182"/>
      <c r="L6" s="133"/>
      <c r="M6" s="133"/>
      <c r="N6" s="134"/>
    </row>
    <row r="7" spans="11:16" ht="15" customHeight="1">
      <c r="K7" s="98">
        <v>4115131</v>
      </c>
      <c r="L7" s="67">
        <v>2942110</v>
      </c>
      <c r="M7" s="67">
        <v>918862</v>
      </c>
      <c r="N7" s="58">
        <f>SUM(K7:M7)</f>
        <v>7976103</v>
      </c>
      <c r="P7" s="463"/>
    </row>
    <row r="8" spans="11:14" ht="15" customHeight="1" thickBot="1">
      <c r="K8" s="183"/>
      <c r="L8" s="180"/>
      <c r="M8" s="180"/>
      <c r="N8" s="181"/>
    </row>
    <row r="9" ht="15" customHeight="1">
      <c r="P9" s="464"/>
    </row>
    <row r="10" spans="11:16" ht="15" customHeight="1">
      <c r="K10" s="158"/>
      <c r="L10" s="158"/>
      <c r="M10" s="158"/>
      <c r="N10" s="344"/>
      <c r="O10" s="344"/>
      <c r="P10" s="344"/>
    </row>
    <row r="11" ht="15" customHeight="1">
      <c r="M11" s="346"/>
    </row>
  </sheetData>
  <sheetProtection/>
  <mergeCells count="4">
    <mergeCell ref="B1:I1"/>
    <mergeCell ref="B2:I2"/>
    <mergeCell ref="B4:I4"/>
    <mergeCell ref="B3:I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B1:P25"/>
  <sheetViews>
    <sheetView tabSelected="1" zoomScalePageLayoutView="0" workbookViewId="0" topLeftCell="A1">
      <selection activeCell="M19" sqref="M19"/>
    </sheetView>
  </sheetViews>
  <sheetFormatPr defaultColWidth="10.7109375" defaultRowHeight="15" customHeight="1"/>
  <cols>
    <col min="1" max="1" width="2.7109375" style="0" customWidth="1"/>
    <col min="2" max="10" width="10.7109375" style="0" customWidth="1"/>
    <col min="11" max="11" width="2.7109375" style="0" customWidth="1"/>
    <col min="12" max="12" width="25.7109375" style="0" customWidth="1"/>
    <col min="13" max="13" width="21.00390625" style="0" customWidth="1"/>
    <col min="14" max="14" width="10.7109375" style="0" customWidth="1"/>
    <col min="15" max="15" width="12.57421875" style="0" customWidth="1"/>
  </cols>
  <sheetData>
    <row r="1" spans="2:11" ht="15" customHeight="1">
      <c r="B1" s="477" t="s">
        <v>105</v>
      </c>
      <c r="C1" s="477"/>
      <c r="D1" s="477"/>
      <c r="E1" s="477"/>
      <c r="F1" s="477"/>
      <c r="G1" s="477"/>
      <c r="H1" s="477"/>
      <c r="I1" s="477"/>
      <c r="J1" s="477"/>
      <c r="K1" s="131"/>
    </row>
    <row r="2" spans="2:11" ht="15" customHeight="1">
      <c r="B2" s="478" t="s">
        <v>141</v>
      </c>
      <c r="C2" s="478"/>
      <c r="D2" s="478"/>
      <c r="E2" s="478"/>
      <c r="F2" s="478"/>
      <c r="G2" s="478"/>
      <c r="H2" s="478"/>
      <c r="I2" s="478"/>
      <c r="J2" s="478"/>
      <c r="K2" s="130"/>
    </row>
    <row r="3" spans="2:11" ht="15" customHeight="1">
      <c r="B3" s="478" t="s">
        <v>24</v>
      </c>
      <c r="C3" s="478"/>
      <c r="D3" s="478"/>
      <c r="E3" s="478"/>
      <c r="F3" s="478"/>
      <c r="G3" s="478"/>
      <c r="H3" s="478"/>
      <c r="I3" s="478"/>
      <c r="J3" s="478"/>
      <c r="K3" s="130"/>
    </row>
    <row r="4" spans="2:11" ht="15" customHeight="1" thickBot="1">
      <c r="B4" s="478" t="s">
        <v>194</v>
      </c>
      <c r="C4" s="478"/>
      <c r="D4" s="478"/>
      <c r="E4" s="478"/>
      <c r="F4" s="478"/>
      <c r="G4" s="478"/>
      <c r="H4" s="478"/>
      <c r="I4" s="478"/>
      <c r="J4" s="478"/>
      <c r="K4" s="130"/>
    </row>
    <row r="5" spans="11:13" ht="15" customHeight="1" thickBot="1">
      <c r="K5" s="130"/>
      <c r="L5" s="248" t="s">
        <v>120</v>
      </c>
      <c r="M5" s="249" t="s">
        <v>134</v>
      </c>
    </row>
    <row r="6" spans="11:13" ht="15" customHeight="1">
      <c r="K6" s="130"/>
      <c r="L6" s="243"/>
      <c r="M6" s="353"/>
    </row>
    <row r="7" spans="11:13" ht="15" customHeight="1">
      <c r="K7" s="130"/>
      <c r="L7" s="244" t="s">
        <v>47</v>
      </c>
      <c r="M7" s="190">
        <f>SUM(M9:M14)</f>
        <v>4115131</v>
      </c>
    </row>
    <row r="8" spans="11:13" ht="15" customHeight="1">
      <c r="K8" s="130"/>
      <c r="L8" s="244"/>
      <c r="M8" s="191"/>
    </row>
    <row r="9" spans="11:15" ht="15" customHeight="1">
      <c r="K9" s="130"/>
      <c r="L9" s="245" t="s">
        <v>87</v>
      </c>
      <c r="M9" s="98">
        <v>1473651</v>
      </c>
      <c r="N9" s="343"/>
      <c r="O9" s="343"/>
    </row>
    <row r="10" spans="11:15" ht="15" customHeight="1">
      <c r="K10" s="130"/>
      <c r="L10" s="245" t="s">
        <v>88</v>
      </c>
      <c r="M10" s="98">
        <v>1951178</v>
      </c>
      <c r="N10" s="343"/>
      <c r="O10" s="343"/>
    </row>
    <row r="11" spans="11:15" ht="15" customHeight="1">
      <c r="K11" s="130"/>
      <c r="L11" s="245" t="s">
        <v>89</v>
      </c>
      <c r="M11" s="98">
        <v>84183</v>
      </c>
      <c r="N11" s="343"/>
      <c r="O11" s="343"/>
    </row>
    <row r="12" spans="12:16" s="130" customFormat="1" ht="15" customHeight="1">
      <c r="L12" s="245" t="s">
        <v>90</v>
      </c>
      <c r="M12" s="190">
        <v>482246</v>
      </c>
      <c r="N12" s="343"/>
      <c r="O12" s="343"/>
      <c r="P12"/>
    </row>
    <row r="13" spans="4:16" s="131" customFormat="1" ht="15" customHeight="1">
      <c r="D13" s="130"/>
      <c r="E13" s="130"/>
      <c r="F13" s="130"/>
      <c r="G13" s="130"/>
      <c r="L13" s="246" t="s">
        <v>94</v>
      </c>
      <c r="M13" s="190">
        <v>120217</v>
      </c>
      <c r="N13" s="343"/>
      <c r="O13" s="343"/>
      <c r="P13"/>
    </row>
    <row r="14" spans="4:16" s="130" customFormat="1" ht="15" customHeight="1" thickBot="1">
      <c r="D14" s="128"/>
      <c r="E14" s="154"/>
      <c r="L14" s="247" t="s">
        <v>96</v>
      </c>
      <c r="M14" s="347">
        <v>3656</v>
      </c>
      <c r="N14" s="343"/>
      <c r="O14" s="343"/>
      <c r="P14"/>
    </row>
    <row r="15" spans="12:16" s="130" customFormat="1" ht="15" customHeight="1">
      <c r="L15" s="15"/>
      <c r="M15" s="158"/>
      <c r="O15"/>
      <c r="P15"/>
    </row>
    <row r="16" spans="12:16" s="130" customFormat="1" ht="15" customHeight="1">
      <c r="L16" s="15"/>
      <c r="M16" s="158"/>
      <c r="O16"/>
      <c r="P16"/>
    </row>
    <row r="17" spans="12:16" s="130" customFormat="1" ht="15" customHeight="1">
      <c r="L17" s="15"/>
      <c r="M17" s="158"/>
      <c r="O17"/>
      <c r="P17"/>
    </row>
    <row r="18" spans="12:13" s="130" customFormat="1" ht="15" customHeight="1">
      <c r="L18" s="15"/>
      <c r="M18" s="158"/>
    </row>
    <row r="19" s="130" customFormat="1" ht="15" customHeight="1">
      <c r="L19" s="15"/>
    </row>
    <row r="20" spans="12:13" s="130" customFormat="1" ht="15" customHeight="1">
      <c r="L20" s="15"/>
      <c r="M20" s="15"/>
    </row>
    <row r="21" spans="12:13" s="130" customFormat="1" ht="15" customHeight="1">
      <c r="L21" s="15"/>
      <c r="M21" s="15"/>
    </row>
    <row r="22" spans="12:13" s="130" customFormat="1" ht="15" customHeight="1">
      <c r="L22" s="15"/>
      <c r="M22" s="15"/>
    </row>
    <row r="23" spans="12:13" s="130" customFormat="1" ht="15" customHeight="1">
      <c r="L23" s="15"/>
      <c r="M23" s="15"/>
    </row>
    <row r="24" spans="12:13" s="130" customFormat="1" ht="15" customHeight="1">
      <c r="L24" s="15"/>
      <c r="M24" s="15"/>
    </row>
    <row r="25" spans="12:13" s="130" customFormat="1" ht="15" customHeight="1">
      <c r="L25" s="15"/>
      <c r="M25" s="15"/>
    </row>
    <row r="26" s="130" customFormat="1" ht="15" customHeight="1"/>
    <row r="27" s="130" customFormat="1" ht="15" customHeight="1"/>
    <row r="28" s="130" customFormat="1" ht="15" customHeight="1"/>
    <row r="29" s="130" customFormat="1" ht="15" customHeight="1"/>
    <row r="30" s="130" customFormat="1" ht="15" customHeight="1"/>
    <row r="31" s="130" customFormat="1" ht="15" customHeight="1"/>
    <row r="32" s="130" customFormat="1" ht="15" customHeight="1"/>
    <row r="33" s="130" customFormat="1" ht="15" customHeight="1"/>
  </sheetData>
  <sheetProtection/>
  <mergeCells count="4">
    <mergeCell ref="B1:J1"/>
    <mergeCell ref="B2:J2"/>
    <mergeCell ref="B3:J3"/>
    <mergeCell ref="B4:J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B1:N30"/>
  <sheetViews>
    <sheetView zoomScalePageLayoutView="0" workbookViewId="0" topLeftCell="A1">
      <selection activeCell="L23" sqref="L23"/>
    </sheetView>
  </sheetViews>
  <sheetFormatPr defaultColWidth="10.7109375" defaultRowHeight="15" customHeight="1"/>
  <cols>
    <col min="1" max="1" width="2.7109375" style="0" customWidth="1"/>
    <col min="2" max="9" width="10.7109375" style="0" customWidth="1"/>
    <col min="10" max="10" width="13.00390625" style="0" customWidth="1"/>
    <col min="11" max="11" width="25.7109375" style="0" customWidth="1"/>
    <col min="12" max="12" width="15.140625" style="0" customWidth="1"/>
    <col min="13" max="13" width="10.7109375" style="0" customWidth="1"/>
    <col min="14" max="14" width="12.28125" style="0" customWidth="1"/>
  </cols>
  <sheetData>
    <row r="1" spans="2:10" ht="15" customHeight="1">
      <c r="B1" s="478" t="s">
        <v>106</v>
      </c>
      <c r="C1" s="478"/>
      <c r="D1" s="478"/>
      <c r="E1" s="478"/>
      <c r="F1" s="478"/>
      <c r="G1" s="478"/>
      <c r="H1" s="478"/>
      <c r="I1" s="478"/>
      <c r="J1" s="478"/>
    </row>
    <row r="2" spans="2:10" ht="15" customHeight="1">
      <c r="B2" s="478" t="s">
        <v>143</v>
      </c>
      <c r="C2" s="478"/>
      <c r="D2" s="478"/>
      <c r="E2" s="478"/>
      <c r="F2" s="478"/>
      <c r="G2" s="478"/>
      <c r="H2" s="478"/>
      <c r="I2" s="478"/>
      <c r="J2" s="478"/>
    </row>
    <row r="3" spans="2:10" ht="15" customHeight="1">
      <c r="B3" s="478" t="s">
        <v>144</v>
      </c>
      <c r="C3" s="478"/>
      <c r="D3" s="478"/>
      <c r="E3" s="478"/>
      <c r="F3" s="478"/>
      <c r="G3" s="478"/>
      <c r="H3" s="478"/>
      <c r="I3" s="478"/>
      <c r="J3" s="478"/>
    </row>
    <row r="4" spans="2:12" ht="15" customHeight="1" thickBot="1">
      <c r="B4" s="478" t="s">
        <v>194</v>
      </c>
      <c r="C4" s="478"/>
      <c r="D4" s="478"/>
      <c r="E4" s="478"/>
      <c r="F4" s="478"/>
      <c r="G4" s="478"/>
      <c r="H4" s="478"/>
      <c r="I4" s="478"/>
      <c r="J4" s="478"/>
      <c r="K4" s="188"/>
      <c r="L4" s="188"/>
    </row>
    <row r="5" spans="2:12" ht="15" customHeight="1" thickBot="1">
      <c r="B5" s="130"/>
      <c r="C5" s="130"/>
      <c r="D5" s="130"/>
      <c r="E5" s="130"/>
      <c r="F5" s="130"/>
      <c r="G5" s="130"/>
      <c r="H5" s="130"/>
      <c r="J5" s="130"/>
      <c r="K5" s="250" t="s">
        <v>120</v>
      </c>
      <c r="L5" s="253" t="s">
        <v>144</v>
      </c>
    </row>
    <row r="6" spans="10:12" ht="15" customHeight="1">
      <c r="J6" s="130"/>
      <c r="K6" s="243"/>
      <c r="L6" s="187"/>
    </row>
    <row r="7" spans="10:12" ht="15" customHeight="1">
      <c r="J7" s="130"/>
      <c r="K7" s="244" t="s">
        <v>47</v>
      </c>
      <c r="L7" s="58">
        <f>SUM(L9:L14)</f>
        <v>2942110</v>
      </c>
    </row>
    <row r="8" spans="10:12" ht="15" customHeight="1">
      <c r="J8" s="130"/>
      <c r="K8" s="244"/>
      <c r="L8" s="191"/>
    </row>
    <row r="9" spans="10:14" ht="15" customHeight="1">
      <c r="J9" s="130"/>
      <c r="K9" s="245" t="s">
        <v>87</v>
      </c>
      <c r="L9" s="52">
        <v>1472819</v>
      </c>
      <c r="M9" s="343"/>
      <c r="N9" s="343"/>
    </row>
    <row r="10" spans="10:14" ht="15" customHeight="1">
      <c r="J10" s="130"/>
      <c r="K10" s="245" t="s">
        <v>88</v>
      </c>
      <c r="L10" s="52">
        <v>858134</v>
      </c>
      <c r="M10" s="343"/>
      <c r="N10" s="343"/>
    </row>
    <row r="11" spans="10:14" ht="15" customHeight="1">
      <c r="J11" s="130"/>
      <c r="K11" s="245" t="s">
        <v>89</v>
      </c>
      <c r="L11" s="52">
        <v>46482</v>
      </c>
      <c r="M11" s="343"/>
      <c r="N11" s="343"/>
    </row>
    <row r="12" spans="10:14" ht="15" customHeight="1">
      <c r="J12" s="130"/>
      <c r="K12" s="245" t="s">
        <v>90</v>
      </c>
      <c r="L12" s="190">
        <v>480004</v>
      </c>
      <c r="M12" s="343"/>
      <c r="N12" s="343"/>
    </row>
    <row r="13" spans="11:14" s="130" customFormat="1" ht="15" customHeight="1">
      <c r="K13" s="245" t="s">
        <v>94</v>
      </c>
      <c r="L13" s="190">
        <v>82093</v>
      </c>
      <c r="M13" s="343"/>
      <c r="N13" s="343"/>
    </row>
    <row r="14" spans="11:14" s="130" customFormat="1" ht="15" customHeight="1" thickBot="1">
      <c r="K14" s="247" t="s">
        <v>97</v>
      </c>
      <c r="L14" s="347">
        <v>2578</v>
      </c>
      <c r="M14" s="343"/>
      <c r="N14"/>
    </row>
    <row r="15" spans="12:14" s="130" customFormat="1" ht="15" customHeight="1">
      <c r="L15"/>
      <c r="N15"/>
    </row>
    <row r="16" s="130" customFormat="1" ht="15" customHeight="1">
      <c r="N16"/>
    </row>
    <row r="17" s="130" customFormat="1" ht="15" customHeight="1">
      <c r="N17"/>
    </row>
    <row r="18" s="130" customFormat="1" ht="15" customHeight="1">
      <c r="N18"/>
    </row>
    <row r="19" s="130" customFormat="1" ht="15" customHeight="1">
      <c r="N19"/>
    </row>
    <row r="20" spans="12:14" s="130" customFormat="1" ht="15" customHeight="1">
      <c r="L20"/>
      <c r="N20"/>
    </row>
    <row r="21" s="130" customFormat="1" ht="15" customHeight="1">
      <c r="L21"/>
    </row>
    <row r="22" s="130" customFormat="1" ht="15" customHeight="1">
      <c r="L22"/>
    </row>
    <row r="23" s="130" customFormat="1" ht="15" customHeight="1">
      <c r="L23"/>
    </row>
    <row r="24" s="130" customFormat="1" ht="15" customHeight="1">
      <c r="L24"/>
    </row>
    <row r="25" s="130" customFormat="1" ht="15" customHeight="1">
      <c r="L25"/>
    </row>
    <row r="26" s="130" customFormat="1" ht="15" customHeight="1">
      <c r="L26"/>
    </row>
    <row r="27" spans="12:13" s="130" customFormat="1" ht="15" customHeight="1">
      <c r="L27"/>
      <c r="M27"/>
    </row>
    <row r="28" s="130" customFormat="1" ht="15" customHeight="1">
      <c r="L28"/>
    </row>
    <row r="29" s="130" customFormat="1" ht="15" customHeight="1">
      <c r="L29"/>
    </row>
    <row r="30" s="130" customFormat="1" ht="15" customHeight="1">
      <c r="L30"/>
    </row>
    <row r="31" s="130" customFormat="1" ht="15" customHeight="1"/>
    <row r="32" s="130" customFormat="1" ht="15" customHeight="1"/>
    <row r="33" s="130" customFormat="1" ht="15" customHeight="1"/>
    <row r="34" s="130" customFormat="1" ht="15" customHeight="1"/>
    <row r="35" s="130" customFormat="1" ht="15" customHeight="1"/>
  </sheetData>
  <sheetProtection/>
  <mergeCells count="4">
    <mergeCell ref="B1:J1"/>
    <mergeCell ref="B2:J2"/>
    <mergeCell ref="B3:J3"/>
    <mergeCell ref="B4:J4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B1:O29"/>
  <sheetViews>
    <sheetView zoomScalePageLayoutView="0" workbookViewId="0" topLeftCell="A1">
      <selection activeCell="N20" sqref="N20"/>
    </sheetView>
  </sheetViews>
  <sheetFormatPr defaultColWidth="10.7109375" defaultRowHeight="15" customHeight="1"/>
  <cols>
    <col min="1" max="1" width="2.7109375" style="130" customWidth="1"/>
    <col min="2" max="10" width="10.7109375" style="130" customWidth="1"/>
    <col min="11" max="11" width="7.8515625" style="130" customWidth="1"/>
    <col min="12" max="12" width="25.7109375" style="130" customWidth="1"/>
    <col min="13" max="13" width="17.57421875" style="130" customWidth="1"/>
    <col min="14" max="16384" width="10.7109375" style="130" customWidth="1"/>
  </cols>
  <sheetData>
    <row r="1" spans="2:11" ht="15" customHeight="1">
      <c r="B1" s="478" t="s">
        <v>66</v>
      </c>
      <c r="C1" s="478"/>
      <c r="D1" s="478"/>
      <c r="E1" s="478"/>
      <c r="F1" s="478"/>
      <c r="G1" s="478"/>
      <c r="H1" s="478"/>
      <c r="I1" s="478"/>
      <c r="J1" s="478"/>
      <c r="K1" s="131"/>
    </row>
    <row r="2" spans="2:10" ht="15" customHeight="1">
      <c r="B2" s="478" t="s">
        <v>142</v>
      </c>
      <c r="C2" s="478"/>
      <c r="D2" s="478"/>
      <c r="E2" s="478"/>
      <c r="F2" s="478"/>
      <c r="G2" s="478"/>
      <c r="H2" s="478"/>
      <c r="I2" s="478"/>
      <c r="J2" s="478"/>
    </row>
    <row r="3" spans="2:10" ht="15" customHeight="1">
      <c r="B3" s="478" t="s">
        <v>25</v>
      </c>
      <c r="C3" s="478"/>
      <c r="D3" s="478"/>
      <c r="E3" s="478"/>
      <c r="F3" s="478"/>
      <c r="G3" s="478"/>
      <c r="H3" s="478"/>
      <c r="I3" s="478"/>
      <c r="J3" s="478"/>
    </row>
    <row r="4" spans="2:10" ht="15" customHeight="1" thickBot="1">
      <c r="B4" s="478">
        <v>2021</v>
      </c>
      <c r="C4" s="478"/>
      <c r="D4" s="478"/>
      <c r="E4" s="478"/>
      <c r="F4" s="478"/>
      <c r="G4" s="478"/>
      <c r="H4" s="478"/>
      <c r="I4" s="478"/>
      <c r="J4" s="478"/>
    </row>
    <row r="5" spans="11:13" ht="15" customHeight="1" thickBot="1">
      <c r="K5" s="130"/>
      <c r="L5" s="250" t="s">
        <v>120</v>
      </c>
      <c r="M5" s="251" t="s">
        <v>135</v>
      </c>
    </row>
    <row r="6" spans="12:13" ht="15" customHeight="1">
      <c r="L6" s="243"/>
      <c r="M6" s="189"/>
    </row>
    <row r="7" spans="11:13" ht="15" customHeight="1">
      <c r="K7" s="130"/>
      <c r="L7" s="244" t="s">
        <v>47</v>
      </c>
      <c r="M7" s="190">
        <f>SUM(M9:M14)</f>
        <v>918862</v>
      </c>
    </row>
    <row r="8" spans="12:13" ht="15" customHeight="1">
      <c r="L8" s="244"/>
      <c r="M8" s="191"/>
    </row>
    <row r="9" spans="11:15" ht="15" customHeight="1">
      <c r="K9" s="130"/>
      <c r="L9" s="245" t="s">
        <v>87</v>
      </c>
      <c r="M9" s="190">
        <v>374559</v>
      </c>
      <c r="N9" s="343"/>
      <c r="O9" s="343"/>
    </row>
    <row r="10" spans="11:15" ht="15" customHeight="1">
      <c r="K10" s="130"/>
      <c r="L10" s="245" t="s">
        <v>88</v>
      </c>
      <c r="M10" s="190">
        <v>354733</v>
      </c>
      <c r="N10" s="343"/>
      <c r="O10" s="343"/>
    </row>
    <row r="11" spans="11:15" ht="15" customHeight="1">
      <c r="K11" s="130"/>
      <c r="L11" s="245" t="s">
        <v>89</v>
      </c>
      <c r="M11" s="190">
        <v>41390</v>
      </c>
      <c r="N11" s="343"/>
      <c r="O11" s="343"/>
    </row>
    <row r="12" spans="12:15" ht="15" customHeight="1">
      <c r="L12" s="245" t="s">
        <v>90</v>
      </c>
      <c r="M12" s="190">
        <v>105849</v>
      </c>
      <c r="N12" s="343"/>
      <c r="O12" s="343"/>
    </row>
    <row r="13" spans="12:15" ht="15" customHeight="1">
      <c r="L13" s="246" t="s">
        <v>94</v>
      </c>
      <c r="M13" s="190">
        <v>41598</v>
      </c>
      <c r="N13" s="343"/>
      <c r="O13" s="343"/>
    </row>
    <row r="14" spans="12:15" ht="15" customHeight="1" thickBot="1">
      <c r="L14" s="247" t="s">
        <v>96</v>
      </c>
      <c r="M14" s="347">
        <v>733</v>
      </c>
      <c r="N14" s="343"/>
      <c r="O14" s="343"/>
    </row>
    <row r="15" ht="15" customHeight="1">
      <c r="O15"/>
    </row>
    <row r="16" ht="15" customHeight="1">
      <c r="O16"/>
    </row>
    <row r="21" ht="15" customHeight="1">
      <c r="M21"/>
    </row>
    <row r="22" ht="15" customHeight="1">
      <c r="M22"/>
    </row>
    <row r="23" ht="15" customHeight="1">
      <c r="M23"/>
    </row>
    <row r="24" ht="15" customHeight="1">
      <c r="M24"/>
    </row>
    <row r="25" ht="15" customHeight="1">
      <c r="M25"/>
    </row>
    <row r="26" ht="15" customHeight="1">
      <c r="M26"/>
    </row>
    <row r="27" ht="15" customHeight="1">
      <c r="M27"/>
    </row>
    <row r="28" ht="15" customHeight="1">
      <c r="M28"/>
    </row>
    <row r="29" ht="15" customHeight="1">
      <c r="M29"/>
    </row>
  </sheetData>
  <sheetProtection/>
  <mergeCells count="4">
    <mergeCell ref="B1:J1"/>
    <mergeCell ref="B2:J2"/>
    <mergeCell ref="B3:J3"/>
    <mergeCell ref="B4:J4"/>
  </mergeCells>
  <printOptions horizontalCentered="1"/>
  <pageMargins left="0.34" right="0.24" top="1" bottom="1" header="0.25" footer="0.22"/>
  <pageSetup blackAndWhite="1"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B1:P83"/>
  <sheetViews>
    <sheetView zoomScale="90" zoomScaleNormal="90" zoomScalePageLayoutView="0" workbookViewId="0" topLeftCell="A1">
      <selection activeCell="G66" sqref="G66"/>
    </sheetView>
  </sheetViews>
  <sheetFormatPr defaultColWidth="11.00390625" defaultRowHeight="15" customHeight="1"/>
  <cols>
    <col min="1" max="1" width="2.7109375" style="13" customWidth="1"/>
    <col min="2" max="2" width="13.421875" style="15" customWidth="1"/>
    <col min="3" max="3" width="15.28125" style="13" customWidth="1"/>
    <col min="4" max="4" width="14.421875" style="13" customWidth="1"/>
    <col min="5" max="5" width="18.421875" style="13" customWidth="1"/>
    <col min="6" max="6" width="16.421875" style="13" customWidth="1"/>
    <col min="7" max="8" width="20.7109375" style="13" customWidth="1"/>
    <col min="9" max="9" width="11.57421875" style="13" bestFit="1" customWidth="1"/>
    <col min="10" max="10" width="11.00390625" style="13" customWidth="1"/>
    <col min="11" max="11" width="15.8515625" style="13" bestFit="1" customWidth="1"/>
    <col min="12" max="12" width="17.00390625" style="13" customWidth="1"/>
    <col min="13" max="13" width="13.8515625" style="13" customWidth="1"/>
    <col min="14" max="14" width="15.8515625" style="13" customWidth="1"/>
    <col min="15" max="15" width="21.7109375" style="13" customWidth="1"/>
    <col min="16" max="16" width="18.8515625" style="13" customWidth="1"/>
    <col min="17" max="16384" width="11.00390625" style="13" customWidth="1"/>
  </cols>
  <sheetData>
    <row r="1" spans="2:16" ht="15" customHeight="1">
      <c r="B1" s="479" t="s">
        <v>32</v>
      </c>
      <c r="C1" s="479"/>
      <c r="D1" s="479"/>
      <c r="E1" s="479"/>
      <c r="F1" s="479"/>
      <c r="G1" s="479"/>
      <c r="H1" s="479"/>
      <c r="I1" s="17"/>
      <c r="K1"/>
      <c r="L1"/>
      <c r="M1"/>
      <c r="N1"/>
      <c r="O1"/>
      <c r="P1"/>
    </row>
    <row r="2" spans="2:16" ht="15" customHeight="1">
      <c r="B2" s="480" t="s">
        <v>9</v>
      </c>
      <c r="C2" s="480"/>
      <c r="D2" s="480"/>
      <c r="E2" s="480"/>
      <c r="F2" s="480"/>
      <c r="G2" s="480"/>
      <c r="H2" s="480"/>
      <c r="I2" s="17"/>
      <c r="K2"/>
      <c r="L2"/>
      <c r="M2"/>
      <c r="N2"/>
      <c r="O2"/>
      <c r="P2"/>
    </row>
    <row r="3" spans="2:16" ht="15" customHeight="1">
      <c r="B3" s="477" t="s">
        <v>191</v>
      </c>
      <c r="C3" s="477"/>
      <c r="D3" s="477"/>
      <c r="E3" s="477"/>
      <c r="F3" s="477"/>
      <c r="G3" s="477"/>
      <c r="H3" s="477"/>
      <c r="I3" s="17"/>
      <c r="K3"/>
      <c r="L3"/>
      <c r="M3"/>
      <c r="N3"/>
      <c r="O3"/>
      <c r="P3"/>
    </row>
    <row r="4" spans="2:16" ht="15" customHeight="1" thickBot="1">
      <c r="B4" s="21"/>
      <c r="C4" s="17"/>
      <c r="D4" s="17"/>
      <c r="E4" s="17"/>
      <c r="F4" s="17"/>
      <c r="G4" s="17"/>
      <c r="H4" s="17"/>
      <c r="I4" s="17"/>
      <c r="K4"/>
      <c r="L4"/>
      <c r="M4"/>
      <c r="N4"/>
      <c r="O4"/>
      <c r="P4"/>
    </row>
    <row r="5" spans="2:16" s="15" customFormat="1" ht="69.75" customHeight="1" thickBot="1">
      <c r="B5" s="357" t="s">
        <v>83</v>
      </c>
      <c r="C5" s="358" t="s">
        <v>7</v>
      </c>
      <c r="D5" s="359" t="s">
        <v>8</v>
      </c>
      <c r="E5" s="359" t="s">
        <v>147</v>
      </c>
      <c r="F5" s="359" t="s">
        <v>148</v>
      </c>
      <c r="G5" s="359" t="s">
        <v>154</v>
      </c>
      <c r="H5" s="360" t="s">
        <v>152</v>
      </c>
      <c r="I5" s="21"/>
      <c r="K5"/>
      <c r="L5"/>
      <c r="M5"/>
      <c r="N5"/>
      <c r="O5"/>
      <c r="P5"/>
    </row>
    <row r="6" spans="2:16" ht="15" customHeight="1">
      <c r="B6" s="354">
        <v>1970</v>
      </c>
      <c r="C6" s="355">
        <v>1428082</v>
      </c>
      <c r="D6" s="356">
        <v>315421</v>
      </c>
      <c r="E6" s="356">
        <v>285321</v>
      </c>
      <c r="F6" s="356">
        <v>148182</v>
      </c>
      <c r="G6" s="361">
        <f>+F6/E6</f>
        <v>0.519351887873658</v>
      </c>
      <c r="H6" s="362">
        <v>0.5652191832503226</v>
      </c>
      <c r="I6" s="17"/>
      <c r="K6"/>
      <c r="L6"/>
      <c r="M6"/>
      <c r="N6"/>
      <c r="O6"/>
      <c r="P6"/>
    </row>
    <row r="7" spans="2:16" ht="15" customHeight="1">
      <c r="B7" s="354">
        <v>1971</v>
      </c>
      <c r="C7" s="173">
        <v>1461927.5434</v>
      </c>
      <c r="D7" s="155">
        <v>322899.5126228603</v>
      </c>
      <c r="E7" s="155">
        <v>292425.49289999995</v>
      </c>
      <c r="F7" s="155">
        <v>155487.37259999997</v>
      </c>
      <c r="G7" s="361">
        <f aca="true" t="shared" si="0" ref="G7:G35">+F7/E7</f>
        <v>0.5317162025034925</v>
      </c>
      <c r="H7" s="363">
        <v>0.5759110344030133</v>
      </c>
      <c r="I7" s="17"/>
      <c r="K7"/>
      <c r="L7"/>
      <c r="M7"/>
      <c r="N7"/>
      <c r="O7"/>
      <c r="P7"/>
    </row>
    <row r="8" spans="2:16" ht="15" customHeight="1">
      <c r="B8" s="354">
        <v>1972</v>
      </c>
      <c r="C8" s="159">
        <v>1496575.2261785802</v>
      </c>
      <c r="D8" s="77">
        <v>330552.2310720221</v>
      </c>
      <c r="E8" s="77">
        <v>299706.88767320995</v>
      </c>
      <c r="F8" s="77">
        <v>163152.90006917994</v>
      </c>
      <c r="G8" s="361">
        <f t="shared" si="0"/>
        <v>0.5443748768532681</v>
      </c>
      <c r="H8" s="364">
        <v>0.5868913449436769</v>
      </c>
      <c r="I8" s="17"/>
      <c r="K8"/>
      <c r="L8"/>
      <c r="M8"/>
      <c r="N8"/>
      <c r="O8"/>
      <c r="P8"/>
    </row>
    <row r="9" spans="2:16" ht="15" customHeight="1">
      <c r="B9" s="354">
        <v>1973</v>
      </c>
      <c r="C9" s="159">
        <v>1532044.0590390125</v>
      </c>
      <c r="D9" s="77">
        <v>338386.3189484291</v>
      </c>
      <c r="E9" s="77">
        <v>307169.58917627286</v>
      </c>
      <c r="F9" s="77">
        <v>171196.3380425905</v>
      </c>
      <c r="G9" s="361">
        <f t="shared" si="0"/>
        <v>0.5573349188039167</v>
      </c>
      <c r="H9" s="364">
        <v>0.5981715467805157</v>
      </c>
      <c r="I9" s="17"/>
      <c r="K9"/>
      <c r="L9"/>
      <c r="M9"/>
      <c r="N9"/>
      <c r="O9"/>
      <c r="P9"/>
    </row>
    <row r="10" spans="2:16" ht="15" customHeight="1">
      <c r="B10" s="354">
        <v>1974</v>
      </c>
      <c r="C10" s="159">
        <v>1568353.5032382372</v>
      </c>
      <c r="D10" s="77">
        <v>346406.07470750686</v>
      </c>
      <c r="E10" s="77">
        <v>314818.111946762</v>
      </c>
      <c r="F10" s="77">
        <v>179636.3175080902</v>
      </c>
      <c r="G10" s="361">
        <f t="shared" si="0"/>
        <v>0.5706035030743973</v>
      </c>
      <c r="H10" s="364">
        <v>0.6097591690537916</v>
      </c>
      <c r="I10" s="17"/>
      <c r="K10"/>
      <c r="L10"/>
      <c r="M10"/>
      <c r="N10"/>
      <c r="O10"/>
      <c r="P10"/>
    </row>
    <row r="11" spans="2:16" ht="15" customHeight="1">
      <c r="B11" s="354">
        <v>1975</v>
      </c>
      <c r="C11" s="173">
        <v>1605523.4812649835</v>
      </c>
      <c r="D11" s="155">
        <v>354615.89867807477</v>
      </c>
      <c r="E11" s="155">
        <v>322657.0829342364</v>
      </c>
      <c r="F11" s="155">
        <v>188492.38796123903</v>
      </c>
      <c r="G11" s="361">
        <f t="shared" si="0"/>
        <v>0.5841879751936434</v>
      </c>
      <c r="H11" s="363">
        <v>0.6216619292222035</v>
      </c>
      <c r="I11" s="17"/>
      <c r="K11"/>
      <c r="L11"/>
      <c r="M11"/>
      <c r="N11"/>
      <c r="O11"/>
      <c r="P11"/>
    </row>
    <row r="12" spans="2:16" ht="15" customHeight="1">
      <c r="B12" s="354">
        <v>1976</v>
      </c>
      <c r="C12" s="159">
        <v>1643574.3877709638</v>
      </c>
      <c r="D12" s="77">
        <v>363020.2954767452</v>
      </c>
      <c r="E12" s="77">
        <v>330691.24429929885</v>
      </c>
      <c r="F12" s="77">
        <v>197785.0626877281</v>
      </c>
      <c r="G12" s="361">
        <f t="shared" si="0"/>
        <v>0.5980958555670699</v>
      </c>
      <c r="H12" s="364">
        <v>0.6338877377722684</v>
      </c>
      <c r="I12" s="17"/>
      <c r="K12"/>
      <c r="L12"/>
      <c r="M12"/>
      <c r="N12"/>
      <c r="O12"/>
      <c r="P12"/>
    </row>
    <row r="13" spans="2:16" ht="15" customHeight="1">
      <c r="B13" s="354">
        <v>1977</v>
      </c>
      <c r="C13" s="227">
        <v>1682527.1007611358</v>
      </c>
      <c r="D13" s="210">
        <v>371623.8764795441</v>
      </c>
      <c r="E13" s="210">
        <v>338925.45628235134</v>
      </c>
      <c r="F13" s="210">
        <v>207535.86627823306</v>
      </c>
      <c r="G13" s="361">
        <f t="shared" si="0"/>
        <v>0.6123348436398932</v>
      </c>
      <c r="H13" s="365">
        <v>0.6464447030454714</v>
      </c>
      <c r="I13" s="17"/>
      <c r="K13"/>
      <c r="L13"/>
      <c r="M13"/>
      <c r="N13"/>
      <c r="O13"/>
      <c r="P13"/>
    </row>
    <row r="14" spans="2:16" ht="15" customHeight="1">
      <c r="B14" s="354">
        <v>1978</v>
      </c>
      <c r="C14" s="159">
        <v>1722402.9930491748</v>
      </c>
      <c r="D14" s="77">
        <v>380431.3623521093</v>
      </c>
      <c r="E14" s="77">
        <v>347364.70014378184</v>
      </c>
      <c r="F14" s="77">
        <v>217767.38448574994</v>
      </c>
      <c r="G14" s="361">
        <f t="shared" si="0"/>
        <v>0.6269128221595668</v>
      </c>
      <c r="H14" s="364">
        <v>0.6593411361861309</v>
      </c>
      <c r="I14" s="17"/>
      <c r="K14"/>
      <c r="L14"/>
      <c r="M14"/>
      <c r="N14"/>
      <c r="O14"/>
      <c r="P14"/>
    </row>
    <row r="15" spans="2:16" ht="15" customHeight="1">
      <c r="B15" s="354">
        <v>1979</v>
      </c>
      <c r="C15" s="227">
        <v>1763223.9439844403</v>
      </c>
      <c r="D15" s="210">
        <v>389447.5856398543</v>
      </c>
      <c r="E15" s="210">
        <v>356014.081177362</v>
      </c>
      <c r="F15" s="210">
        <v>228503.3165408974</v>
      </c>
      <c r="G15" s="361">
        <f t="shared" si="0"/>
        <v>0.6418378615396949</v>
      </c>
      <c r="H15" s="365">
        <v>0.6725855562129956</v>
      </c>
      <c r="I15" s="17"/>
      <c r="K15"/>
      <c r="L15"/>
      <c r="M15"/>
      <c r="N15"/>
      <c r="O15"/>
      <c r="P15"/>
    </row>
    <row r="16" spans="2:16" ht="15" customHeight="1">
      <c r="B16" s="354">
        <v>1980</v>
      </c>
      <c r="C16" s="159">
        <v>1831399</v>
      </c>
      <c r="D16" s="77">
        <v>389935</v>
      </c>
      <c r="E16" s="77">
        <v>364726</v>
      </c>
      <c r="F16" s="77">
        <v>239682</v>
      </c>
      <c r="G16" s="361">
        <f t="shared" si="0"/>
        <v>0.6571563310539967</v>
      </c>
      <c r="H16" s="364">
        <v>0.6793209124597689</v>
      </c>
      <c r="I16" s="17"/>
      <c r="K16"/>
      <c r="L16"/>
      <c r="M16"/>
      <c r="N16"/>
      <c r="O16"/>
      <c r="P16"/>
    </row>
    <row r="17" spans="2:16" ht="15" customHeight="1">
      <c r="B17" s="354">
        <v>1981</v>
      </c>
      <c r="C17" s="227">
        <v>1878649.0942000002</v>
      </c>
      <c r="D17" s="210">
        <v>400053.0439097104</v>
      </c>
      <c r="E17" s="210">
        <v>378220.86199999996</v>
      </c>
      <c r="F17" s="210">
        <v>251066.89500000002</v>
      </c>
      <c r="G17" s="361">
        <f t="shared" si="0"/>
        <v>0.663810276546829</v>
      </c>
      <c r="H17" s="365">
        <v>0.6821572315577785</v>
      </c>
      <c r="I17" s="17"/>
      <c r="K17"/>
      <c r="L17"/>
      <c r="M17"/>
      <c r="N17"/>
      <c r="O17"/>
      <c r="P17"/>
    </row>
    <row r="18" spans="2:16" ht="15" customHeight="1">
      <c r="B18" s="354">
        <v>1982</v>
      </c>
      <c r="C18" s="173">
        <v>1927118.2408303602</v>
      </c>
      <c r="D18" s="155">
        <v>410374.412442581</v>
      </c>
      <c r="E18" s="155">
        <v>392215.03389399993</v>
      </c>
      <c r="F18" s="155">
        <v>262992.57251250005</v>
      </c>
      <c r="G18" s="361">
        <f t="shared" si="0"/>
        <v>0.6705315956439764</v>
      </c>
      <c r="H18" s="363">
        <v>0.6851108220603775</v>
      </c>
      <c r="I18" s="17"/>
      <c r="K18"/>
      <c r="L18"/>
      <c r="M18"/>
      <c r="N18"/>
      <c r="O18"/>
      <c r="P18"/>
    </row>
    <row r="19" spans="2:16" ht="15" customHeight="1">
      <c r="B19" s="354">
        <v>1983</v>
      </c>
      <c r="C19" s="173">
        <v>1976837.8914437837</v>
      </c>
      <c r="D19" s="155">
        <v>420962.0722835996</v>
      </c>
      <c r="E19" s="155">
        <v>406726.9901480779</v>
      </c>
      <c r="F19" s="155">
        <v>275484.71970684384</v>
      </c>
      <c r="G19" s="361">
        <f t="shared" si="0"/>
        <v>0.6773209705275463</v>
      </c>
      <c r="H19" s="363">
        <v>0.688232553281387</v>
      </c>
      <c r="I19" s="17"/>
      <c r="K19"/>
      <c r="L19"/>
      <c r="M19"/>
      <c r="N19"/>
      <c r="O19"/>
      <c r="P19"/>
    </row>
    <row r="20" spans="2:16" ht="15" customHeight="1">
      <c r="B20" s="354">
        <v>1984</v>
      </c>
      <c r="C20" s="159">
        <v>2027840.3090430333</v>
      </c>
      <c r="D20" s="77">
        <v>431822.8937485165</v>
      </c>
      <c r="E20" s="77">
        <v>421775.88878355676</v>
      </c>
      <c r="F20" s="77">
        <v>288570.2438929189</v>
      </c>
      <c r="G20" s="361">
        <f t="shared" si="0"/>
        <v>0.6841790902869862</v>
      </c>
      <c r="H20" s="364">
        <v>0.6915271357330729</v>
      </c>
      <c r="I20" s="17"/>
      <c r="K20"/>
      <c r="L20"/>
      <c r="M20"/>
      <c r="N20"/>
      <c r="O20"/>
      <c r="P20"/>
    </row>
    <row r="21" spans="2:16" ht="15" customHeight="1">
      <c r="B21" s="354">
        <v>1985</v>
      </c>
      <c r="C21" s="159">
        <v>2080158.5890163437</v>
      </c>
      <c r="D21" s="77">
        <v>442963.92440722825</v>
      </c>
      <c r="E21" s="77">
        <v>437381.5966685483</v>
      </c>
      <c r="F21" s="77">
        <v>302277.3304778326</v>
      </c>
      <c r="G21" s="361">
        <f t="shared" si="0"/>
        <v>0.6911066509890242</v>
      </c>
      <c r="H21" s="364">
        <v>0.6949993921705668</v>
      </c>
      <c r="I21" s="17"/>
      <c r="K21"/>
      <c r="L21"/>
      <c r="M21"/>
      <c r="N21"/>
      <c r="O21"/>
      <c r="P21"/>
    </row>
    <row r="22" spans="2:16" ht="15" customHeight="1">
      <c r="B22" s="354">
        <v>1986</v>
      </c>
      <c r="C22" s="159">
        <v>2133826.6806129655</v>
      </c>
      <c r="D22" s="77">
        <v>454392.3936569347</v>
      </c>
      <c r="E22" s="77">
        <v>453564.7157452846</v>
      </c>
      <c r="F22" s="77">
        <v>316635.5036755297</v>
      </c>
      <c r="G22" s="366">
        <f t="shared" si="0"/>
        <v>0.6981043557483153</v>
      </c>
      <c r="H22" s="364">
        <v>0.6986542601037988</v>
      </c>
      <c r="I22" s="17"/>
      <c r="K22"/>
      <c r="L22"/>
      <c r="M22"/>
      <c r="N22"/>
      <c r="O22"/>
      <c r="P22"/>
    </row>
    <row r="23" spans="2:16" ht="15" customHeight="1">
      <c r="B23" s="354">
        <v>1987</v>
      </c>
      <c r="C23" s="159">
        <v>2188879.40897278</v>
      </c>
      <c r="D23" s="77">
        <v>466115.7174132837</v>
      </c>
      <c r="E23" s="77">
        <v>470346.61022786004</v>
      </c>
      <c r="F23" s="77">
        <v>331675.69010011735</v>
      </c>
      <c r="G23" s="366">
        <f t="shared" si="0"/>
        <v>0.7051729147988047</v>
      </c>
      <c r="H23" s="364">
        <v>0.7024967943640711</v>
      </c>
      <c r="I23" s="17"/>
      <c r="K23"/>
      <c r="L23"/>
      <c r="M23"/>
      <c r="N23"/>
      <c r="O23"/>
      <c r="P23"/>
    </row>
    <row r="24" spans="2:16" ht="15" customHeight="1">
      <c r="B24" s="354">
        <v>1988</v>
      </c>
      <c r="C24" s="159">
        <v>2245352.497724278</v>
      </c>
      <c r="D24" s="77">
        <v>478141.5029225464</v>
      </c>
      <c r="E24" s="77">
        <v>487749.43480629084</v>
      </c>
      <c r="F24" s="77">
        <v>347430.28537987295</v>
      </c>
      <c r="G24" s="366">
        <f t="shared" si="0"/>
        <v>0.7123130455658129</v>
      </c>
      <c r="H24" s="364">
        <v>0.7065321697264417</v>
      </c>
      <c r="I24" s="17"/>
      <c r="K24"/>
      <c r="L24"/>
      <c r="M24"/>
      <c r="N24"/>
      <c r="O24"/>
      <c r="P24"/>
    </row>
    <row r="25" spans="2:16" ht="15" customHeight="1">
      <c r="B25" s="354">
        <v>1989</v>
      </c>
      <c r="C25" s="159">
        <v>2303282.592165564</v>
      </c>
      <c r="D25" s="77">
        <v>490477.5536979481</v>
      </c>
      <c r="E25" s="77">
        <v>505796.1638941236</v>
      </c>
      <c r="F25" s="77">
        <v>363933.22393541696</v>
      </c>
      <c r="G25" s="366">
        <f t="shared" si="0"/>
        <v>0.7195254727388517</v>
      </c>
      <c r="H25" s="364">
        <v>0.7107656835891202</v>
      </c>
      <c r="I25" s="17"/>
      <c r="K25"/>
      <c r="L25"/>
      <c r="M25"/>
      <c r="N25"/>
      <c r="O25"/>
      <c r="P25"/>
    </row>
    <row r="26" spans="2:16" ht="15" customHeight="1">
      <c r="B26" s="354">
        <v>1990</v>
      </c>
      <c r="C26" s="159">
        <v>2329329</v>
      </c>
      <c r="D26" s="77">
        <v>525236</v>
      </c>
      <c r="E26" s="77">
        <v>524284</v>
      </c>
      <c r="F26" s="77">
        <v>381376</v>
      </c>
      <c r="G26" s="366">
        <f t="shared" si="0"/>
        <v>0.7274225419810637</v>
      </c>
      <c r="H26" s="364">
        <v>0.7279165936836013</v>
      </c>
      <c r="I26" s="17"/>
      <c r="K26"/>
      <c r="L26"/>
      <c r="M26"/>
      <c r="N26"/>
      <c r="O26"/>
      <c r="P26"/>
    </row>
    <row r="27" spans="2:16" ht="15" customHeight="1">
      <c r="B27" s="354">
        <v>1991</v>
      </c>
      <c r="C27" s="159">
        <v>2375915.58</v>
      </c>
      <c r="D27" s="77">
        <v>579491.6048780489</v>
      </c>
      <c r="E27" s="77">
        <v>538439.668</v>
      </c>
      <c r="F27" s="77">
        <v>395944.56320000003</v>
      </c>
      <c r="G27" s="366">
        <f t="shared" si="0"/>
        <v>0.7353554849900102</v>
      </c>
      <c r="H27" s="364">
        <v>0.7541032456717172</v>
      </c>
      <c r="I27" s="17"/>
      <c r="K27"/>
      <c r="L27"/>
      <c r="M27"/>
      <c r="N27"/>
      <c r="O27"/>
      <c r="P27"/>
    </row>
    <row r="28" spans="2:16" ht="15" customHeight="1">
      <c r="B28" s="354">
        <v>1992</v>
      </c>
      <c r="C28" s="159">
        <v>2423433.8916</v>
      </c>
      <c r="D28" s="77">
        <v>591081.4369756099</v>
      </c>
      <c r="E28" s="77">
        <v>552977.5390359999</v>
      </c>
      <c r="F28" s="77">
        <v>411069.64551424</v>
      </c>
      <c r="G28" s="366">
        <f t="shared" si="0"/>
        <v>0.7433749411067464</v>
      </c>
      <c r="H28" s="364">
        <v>0.7599182030688345</v>
      </c>
      <c r="I28" s="17"/>
      <c r="K28"/>
      <c r="L28"/>
      <c r="M28"/>
      <c r="N28"/>
      <c r="O28"/>
      <c r="P28"/>
    </row>
    <row r="29" spans="2:16" ht="15" customHeight="1">
      <c r="B29" s="354">
        <v>1993</v>
      </c>
      <c r="C29" s="227">
        <v>2471902.569432</v>
      </c>
      <c r="D29" s="210">
        <v>602903.065715122</v>
      </c>
      <c r="E29" s="210">
        <v>567907.9325899718</v>
      </c>
      <c r="F29" s="210">
        <v>426772.505972884</v>
      </c>
      <c r="G29" s="361">
        <f t="shared" si="0"/>
        <v>0.751481853804308</v>
      </c>
      <c r="H29" s="365">
        <v>0.7659069348906318</v>
      </c>
      <c r="I29" s="17"/>
      <c r="K29"/>
      <c r="L29"/>
      <c r="M29"/>
      <c r="N29"/>
      <c r="O29"/>
      <c r="P29"/>
    </row>
    <row r="30" spans="2:16" ht="15" customHeight="1">
      <c r="B30" s="354">
        <v>1994</v>
      </c>
      <c r="C30" s="173">
        <v>2521340.62082064</v>
      </c>
      <c r="D30" s="155">
        <v>614961.1270294244</v>
      </c>
      <c r="E30" s="155">
        <v>583241.446769901</v>
      </c>
      <c r="F30" s="155">
        <v>443075.2157010482</v>
      </c>
      <c r="G30" s="361">
        <f t="shared" si="0"/>
        <v>0.7596771768448225</v>
      </c>
      <c r="H30" s="363">
        <v>0.7720730223291884</v>
      </c>
      <c r="I30" s="17"/>
      <c r="K30"/>
      <c r="L30"/>
      <c r="M30"/>
      <c r="N30"/>
      <c r="O30"/>
      <c r="P30"/>
    </row>
    <row r="31" spans="2:16" ht="15" customHeight="1">
      <c r="B31" s="354">
        <v>1995</v>
      </c>
      <c r="C31" s="173">
        <v>2571767.433237053</v>
      </c>
      <c r="D31" s="155">
        <v>627260.349570013</v>
      </c>
      <c r="E31" s="155">
        <v>598988.9658326883</v>
      </c>
      <c r="F31" s="155">
        <v>460000.68894082826</v>
      </c>
      <c r="G31" s="361">
        <f t="shared" si="0"/>
        <v>0.7679618743917184</v>
      </c>
      <c r="H31" s="363">
        <v>0.7784201137739115</v>
      </c>
      <c r="K31"/>
      <c r="L31"/>
      <c r="M31"/>
      <c r="N31"/>
      <c r="O31"/>
      <c r="P31"/>
    </row>
    <row r="32" spans="2:16" ht="15" customHeight="1">
      <c r="B32" s="354">
        <v>1996</v>
      </c>
      <c r="C32" s="159">
        <v>2623202.781901794</v>
      </c>
      <c r="D32" s="77">
        <v>639805.5565614132</v>
      </c>
      <c r="E32" s="77">
        <v>615161.6679101707</v>
      </c>
      <c r="F32" s="77">
        <v>477572.7152583679</v>
      </c>
      <c r="G32" s="361">
        <f t="shared" si="0"/>
        <v>0.7763369211231569</v>
      </c>
      <c r="H32" s="364">
        <v>0.7849519260331774</v>
      </c>
      <c r="K32"/>
      <c r="L32"/>
      <c r="M32"/>
      <c r="N32"/>
      <c r="O32"/>
      <c r="P32"/>
    </row>
    <row r="33" spans="2:16" ht="15" customHeight="1">
      <c r="B33" s="354">
        <v>1997</v>
      </c>
      <c r="C33" s="159">
        <v>2675666.83753983</v>
      </c>
      <c r="D33" s="77">
        <v>652601.6676926415</v>
      </c>
      <c r="E33" s="77">
        <v>631771.0329437453</v>
      </c>
      <c r="F33" s="77">
        <v>495815.99298123753</v>
      </c>
      <c r="G33" s="361">
        <f t="shared" si="0"/>
        <v>0.7848033023467007</v>
      </c>
      <c r="H33" s="364">
        <v>0.7916722455779273</v>
      </c>
      <c r="K33"/>
      <c r="L33"/>
      <c r="M33"/>
      <c r="N33"/>
      <c r="O33"/>
      <c r="P33"/>
    </row>
    <row r="34" spans="2:16" ht="15" customHeight="1">
      <c r="B34" s="354">
        <v>1998</v>
      </c>
      <c r="C34" s="159">
        <v>2729180.1742906263</v>
      </c>
      <c r="D34" s="77">
        <v>665653.7010464943</v>
      </c>
      <c r="E34" s="77">
        <v>648828.8508332263</v>
      </c>
      <c r="F34" s="77">
        <v>514756.1639131208</v>
      </c>
      <c r="G34" s="366">
        <f t="shared" si="0"/>
        <v>0.7933620141152334</v>
      </c>
      <c r="H34" s="364">
        <v>0.7985849298076075</v>
      </c>
      <c r="K34"/>
      <c r="L34"/>
      <c r="M34"/>
      <c r="N34"/>
      <c r="O34"/>
      <c r="P34"/>
    </row>
    <row r="35" spans="2:16" ht="15" customHeight="1">
      <c r="B35" s="354">
        <v>1999</v>
      </c>
      <c r="C35" s="159">
        <v>2783763.7777764387</v>
      </c>
      <c r="D35" s="77">
        <v>678966.7750674242</v>
      </c>
      <c r="E35" s="77">
        <v>666347.2298057234</v>
      </c>
      <c r="F35" s="77">
        <v>534419.8493746021</v>
      </c>
      <c r="G35" s="366">
        <f t="shared" si="0"/>
        <v>0.8020140633441436</v>
      </c>
      <c r="H35" s="364">
        <v>0.8056939083388573</v>
      </c>
      <c r="K35"/>
      <c r="L35"/>
      <c r="M35"/>
      <c r="N35"/>
      <c r="O35"/>
      <c r="P35"/>
    </row>
    <row r="36" spans="2:16" ht="15" customHeight="1">
      <c r="B36" s="354">
        <v>2000</v>
      </c>
      <c r="C36" s="159">
        <v>2948023</v>
      </c>
      <c r="D36" s="77">
        <v>793732</v>
      </c>
      <c r="E36" s="77">
        <v>684560</v>
      </c>
      <c r="F36" s="77">
        <v>554994</v>
      </c>
      <c r="G36" s="366">
        <f>+F36/E36</f>
        <v>0.8107309804838144</v>
      </c>
      <c r="H36" s="364">
        <v>0.8367635423543464</v>
      </c>
      <c r="K36"/>
      <c r="L36"/>
      <c r="M36"/>
      <c r="N36"/>
      <c r="O36"/>
      <c r="P36"/>
    </row>
    <row r="37" spans="2:16" ht="15" customHeight="1">
      <c r="B37" s="275">
        <v>2001</v>
      </c>
      <c r="C37" s="173">
        <v>2990769</v>
      </c>
      <c r="D37" s="155">
        <v>817305.8404000001</v>
      </c>
      <c r="E37" s="155">
        <v>703590.768</v>
      </c>
      <c r="F37" s="155">
        <v>574529.7888</v>
      </c>
      <c r="G37" s="361">
        <f aca="true" t="shared" si="1" ref="G37:G54">+F37/E37</f>
        <v>0.8165681173349335</v>
      </c>
      <c r="H37" s="363">
        <v>0.8420897382345439</v>
      </c>
      <c r="K37"/>
      <c r="L37"/>
      <c r="M37"/>
      <c r="N37"/>
      <c r="O37"/>
      <c r="P37"/>
    </row>
    <row r="38" spans="2:16" ht="15" customHeight="1">
      <c r="B38" s="274">
        <v>2002</v>
      </c>
      <c r="C38" s="159">
        <v>3034135</v>
      </c>
      <c r="D38" s="77">
        <v>841579.8238598802</v>
      </c>
      <c r="E38" s="77">
        <v>723150.5913504001</v>
      </c>
      <c r="F38" s="77">
        <v>594753.2373657599</v>
      </c>
      <c r="G38" s="361">
        <f t="shared" si="1"/>
        <v>0.8224472806626999</v>
      </c>
      <c r="H38" s="364">
        <v>0.8474329465317387</v>
      </c>
      <c r="K38"/>
      <c r="L38"/>
      <c r="M38"/>
      <c r="N38"/>
      <c r="O38"/>
      <c r="P38"/>
    </row>
    <row r="39" spans="2:16" ht="15" customHeight="1">
      <c r="B39" s="274">
        <v>2003</v>
      </c>
      <c r="C39" s="159">
        <v>3078130</v>
      </c>
      <c r="D39" s="77">
        <v>866574.7446285187</v>
      </c>
      <c r="E39" s="77">
        <v>743254.1777899413</v>
      </c>
      <c r="F39" s="77">
        <v>615688.5513210346</v>
      </c>
      <c r="G39" s="361">
        <f t="shared" si="1"/>
        <v>0.8283687730512033</v>
      </c>
      <c r="H39" s="364">
        <v>0.8527932792184114</v>
      </c>
      <c r="K39"/>
      <c r="L39"/>
      <c r="M39"/>
      <c r="N39"/>
      <c r="O39"/>
      <c r="P39"/>
    </row>
    <row r="40" spans="2:16" ht="15" customHeight="1">
      <c r="B40" s="274">
        <v>2004</v>
      </c>
      <c r="C40" s="159">
        <v>3122763</v>
      </c>
      <c r="D40" s="77">
        <v>892312.0145439857</v>
      </c>
      <c r="E40" s="77">
        <v>763916.6439325017</v>
      </c>
      <c r="F40" s="77">
        <v>637360.7883275349</v>
      </c>
      <c r="G40" s="361">
        <f t="shared" si="1"/>
        <v>0.8343328992630916</v>
      </c>
      <c r="H40" s="364">
        <v>0.858170848826189</v>
      </c>
      <c r="K40"/>
      <c r="L40"/>
      <c r="M40"/>
      <c r="N40"/>
      <c r="O40"/>
      <c r="P40"/>
    </row>
    <row r="41" spans="2:16" ht="15" customHeight="1">
      <c r="B41" s="276">
        <v>2005</v>
      </c>
      <c r="C41" s="173">
        <v>3168043</v>
      </c>
      <c r="D41" s="155">
        <v>918813.6813759422</v>
      </c>
      <c r="E41" s="155">
        <v>785153.5266338253</v>
      </c>
      <c r="F41" s="155">
        <v>659795.8880766641</v>
      </c>
      <c r="G41" s="361">
        <f t="shared" si="1"/>
        <v>0.8403399662552561</v>
      </c>
      <c r="H41" s="363">
        <v>0.863565768448903</v>
      </c>
      <c r="K41"/>
      <c r="L41"/>
      <c r="M41"/>
      <c r="N41"/>
      <c r="O41"/>
      <c r="P41"/>
    </row>
    <row r="42" spans="2:16" ht="15" customHeight="1">
      <c r="B42" s="274">
        <v>2006</v>
      </c>
      <c r="C42" s="159">
        <v>3213980</v>
      </c>
      <c r="D42" s="77">
        <v>946102.4477128077</v>
      </c>
      <c r="E42" s="77">
        <v>806980.7946742456</v>
      </c>
      <c r="F42" s="77">
        <v>683020.7033369626</v>
      </c>
      <c r="G42" s="361">
        <f t="shared" si="1"/>
        <v>0.8463902831946304</v>
      </c>
      <c r="H42" s="364">
        <v>0.8689781517456644</v>
      </c>
      <c r="K42"/>
      <c r="L42"/>
      <c r="M42"/>
      <c r="N42"/>
      <c r="O42"/>
      <c r="P42"/>
    </row>
    <row r="43" spans="2:16" ht="15" customHeight="1">
      <c r="B43" s="275">
        <v>2007</v>
      </c>
      <c r="C43" s="227">
        <v>3260583</v>
      </c>
      <c r="D43" s="210">
        <v>974201.6904098782</v>
      </c>
      <c r="E43" s="210">
        <v>829414.8607661898</v>
      </c>
      <c r="F43" s="210">
        <v>707063.0320944237</v>
      </c>
      <c r="G43" s="361">
        <f t="shared" si="1"/>
        <v>0.8524841614741012</v>
      </c>
      <c r="H43" s="365">
        <v>0.8744081129439544</v>
      </c>
      <c r="K43"/>
      <c r="L43"/>
      <c r="M43"/>
      <c r="N43"/>
      <c r="O43"/>
      <c r="P43"/>
    </row>
    <row r="44" spans="2:16" ht="15" customHeight="1">
      <c r="B44" s="274">
        <v>2008</v>
      </c>
      <c r="C44" s="159">
        <v>3307861</v>
      </c>
      <c r="D44" s="77">
        <v>1003135.4806150516</v>
      </c>
      <c r="E44" s="77">
        <v>852472.5938954898</v>
      </c>
      <c r="F44" s="77">
        <v>731951.6508241473</v>
      </c>
      <c r="G44" s="361">
        <f t="shared" si="1"/>
        <v>0.8586219147285361</v>
      </c>
      <c r="H44" s="364">
        <v>0.8798557668427323</v>
      </c>
      <c r="K44"/>
      <c r="L44"/>
      <c r="M44"/>
      <c r="N44"/>
      <c r="O44"/>
      <c r="P44"/>
    </row>
    <row r="45" spans="2:16" ht="15" customHeight="1">
      <c r="B45" s="275">
        <v>2009</v>
      </c>
      <c r="C45" s="227">
        <v>3355825</v>
      </c>
      <c r="D45" s="210">
        <v>1032928.6043893186</v>
      </c>
      <c r="E45" s="210">
        <v>876171.3320057845</v>
      </c>
      <c r="F45" s="210">
        <v>757716.3489331572</v>
      </c>
      <c r="G45" s="361">
        <f t="shared" si="1"/>
        <v>0.8648038588509247</v>
      </c>
      <c r="H45" s="365">
        <v>0.8853212288155583</v>
      </c>
      <c r="K45"/>
      <c r="L45"/>
      <c r="M45"/>
      <c r="N45"/>
      <c r="O45"/>
      <c r="P45"/>
    </row>
    <row r="46" spans="2:16" ht="15" customHeight="1">
      <c r="B46" s="274">
        <v>2010</v>
      </c>
      <c r="C46" s="159">
        <v>3661835</v>
      </c>
      <c r="D46" s="77">
        <v>1144323</v>
      </c>
      <c r="E46" s="77">
        <v>900413</v>
      </c>
      <c r="F46" s="77">
        <v>784655</v>
      </c>
      <c r="G46" s="361">
        <f t="shared" si="1"/>
        <v>0.8714389952166395</v>
      </c>
      <c r="H46" s="364">
        <v>0.8988414984230851</v>
      </c>
      <c r="K46"/>
      <c r="L46"/>
      <c r="M46"/>
      <c r="N46"/>
      <c r="O46"/>
      <c r="P46"/>
    </row>
    <row r="47" spans="2:16" ht="15" customHeight="1">
      <c r="B47" s="275">
        <v>2011</v>
      </c>
      <c r="C47" s="227">
        <v>3723821</v>
      </c>
      <c r="D47" s="210">
        <v>1163694.0625</v>
      </c>
      <c r="E47" s="210">
        <v>925444.4814</v>
      </c>
      <c r="F47" s="210">
        <v>812274.9815448001</v>
      </c>
      <c r="G47" s="361">
        <f t="shared" si="1"/>
        <v>0.8777133559821994</v>
      </c>
      <c r="H47" s="365">
        <v>0.9027497832101383</v>
      </c>
      <c r="K47"/>
      <c r="L47"/>
      <c r="M47"/>
      <c r="N47"/>
      <c r="O47"/>
      <c r="P47"/>
    </row>
    <row r="48" spans="2:16" ht="15" customHeight="1">
      <c r="B48" s="276">
        <v>2012</v>
      </c>
      <c r="C48" s="173">
        <v>3787511</v>
      </c>
      <c r="D48" s="155">
        <v>1183597.1875</v>
      </c>
      <c r="E48" s="155">
        <v>951171.8379829201</v>
      </c>
      <c r="F48" s="155">
        <v>840867.1908591742</v>
      </c>
      <c r="G48" s="361">
        <f t="shared" si="1"/>
        <v>0.8840328921452713</v>
      </c>
      <c r="H48" s="363">
        <v>0.9068055853049702</v>
      </c>
      <c r="K48"/>
      <c r="L48"/>
      <c r="M48"/>
      <c r="N48"/>
      <c r="O48"/>
      <c r="P48"/>
    </row>
    <row r="49" spans="2:16" ht="15" customHeight="1">
      <c r="B49" s="276">
        <v>2013</v>
      </c>
      <c r="C49" s="173">
        <v>3850735</v>
      </c>
      <c r="D49" s="155">
        <v>1203354.6875</v>
      </c>
      <c r="E49" s="155">
        <v>977614.4150788453</v>
      </c>
      <c r="F49" s="155">
        <v>870465.8505161678</v>
      </c>
      <c r="G49" s="361">
        <f t="shared" si="1"/>
        <v>0.8903979289687173</v>
      </c>
      <c r="H49" s="363">
        <v>0.9109584516720658</v>
      </c>
      <c r="K49"/>
      <c r="L49"/>
      <c r="M49"/>
      <c r="N49"/>
      <c r="O49"/>
      <c r="P49"/>
    </row>
    <row r="50" spans="2:16" ht="15" customHeight="1">
      <c r="B50" s="274">
        <v>2014</v>
      </c>
      <c r="C50" s="159">
        <v>3913275</v>
      </c>
      <c r="D50" s="77">
        <v>1222898.4375</v>
      </c>
      <c r="E50" s="77">
        <v>1004792.0958180373</v>
      </c>
      <c r="F50" s="77">
        <v>901106.3877288731</v>
      </c>
      <c r="G50" s="361">
        <f t="shared" si="1"/>
        <v>0.8968087940572921</v>
      </c>
      <c r="H50" s="364">
        <v>0.9152131486069021</v>
      </c>
      <c r="K50"/>
      <c r="L50"/>
      <c r="M50"/>
      <c r="N50"/>
      <c r="O50"/>
      <c r="P50"/>
    </row>
    <row r="51" spans="2:16" ht="15" customHeight="1">
      <c r="B51" s="274">
        <v>2015</v>
      </c>
      <c r="C51" s="159">
        <v>3975404</v>
      </c>
      <c r="D51" s="77">
        <v>1242313.75</v>
      </c>
      <c r="E51" s="77">
        <v>1032725.3160817787</v>
      </c>
      <c r="F51" s="77">
        <v>932825.4767539515</v>
      </c>
      <c r="G51" s="361">
        <f t="shared" si="1"/>
        <v>0.9032658173745046</v>
      </c>
      <c r="H51" s="364">
        <v>0.9195856607657872</v>
      </c>
      <c r="K51"/>
      <c r="L51"/>
      <c r="M51"/>
      <c r="N51"/>
      <c r="O51"/>
      <c r="P51"/>
    </row>
    <row r="52" spans="2:16" ht="15" customHeight="1">
      <c r="B52" s="274">
        <v>2016</v>
      </c>
      <c r="C52" s="159">
        <v>4037043</v>
      </c>
      <c r="D52" s="77">
        <v>1261575.9375</v>
      </c>
      <c r="E52" s="77">
        <v>1061435.0798688522</v>
      </c>
      <c r="F52" s="77">
        <v>965661.0827877669</v>
      </c>
      <c r="G52" s="366">
        <f>+F52/E52</f>
        <v>0.9097693312596011</v>
      </c>
      <c r="H52" s="364">
        <v>0.9240838428871151</v>
      </c>
      <c r="K52"/>
      <c r="L52"/>
      <c r="M52"/>
      <c r="N52"/>
      <c r="O52"/>
      <c r="P52"/>
    </row>
    <row r="53" spans="2:16" ht="15" customHeight="1">
      <c r="B53" s="275">
        <v>2017</v>
      </c>
      <c r="C53" s="227">
        <v>4098135</v>
      </c>
      <c r="D53" s="210">
        <v>1280667.1875</v>
      </c>
      <c r="E53" s="210">
        <v>1090942.9750892064</v>
      </c>
      <c r="F53" s="210">
        <v>999652.5074076698</v>
      </c>
      <c r="G53" s="432">
        <f>+F53/E53</f>
        <v>0.9163196704446703</v>
      </c>
      <c r="H53" s="365">
        <v>0.928716477963533</v>
      </c>
      <c r="K53"/>
      <c r="L53"/>
      <c r="M53"/>
      <c r="N53"/>
      <c r="O53"/>
      <c r="P53"/>
    </row>
    <row r="54" spans="2:16" ht="15" customHeight="1">
      <c r="B54" s="276">
        <v>2018</v>
      </c>
      <c r="C54" s="173">
        <v>4158783</v>
      </c>
      <c r="D54" s="155">
        <v>1299619.6875</v>
      </c>
      <c r="E54" s="155">
        <v>1121271.18979669</v>
      </c>
      <c r="F54" s="155">
        <v>1034840.4356128211</v>
      </c>
      <c r="G54" s="439">
        <f t="shared" si="1"/>
        <v>0.9229171720718692</v>
      </c>
      <c r="H54" s="363">
        <v>0.9334953486660957</v>
      </c>
      <c r="K54"/>
      <c r="L54"/>
      <c r="M54"/>
      <c r="N54"/>
      <c r="O54"/>
      <c r="P54"/>
    </row>
    <row r="55" spans="2:16" ht="15" customHeight="1">
      <c r="B55" s="274">
        <v>2019</v>
      </c>
      <c r="C55" s="159">
        <v>4218808</v>
      </c>
      <c r="D55" s="77">
        <v>1318377.5</v>
      </c>
      <c r="E55" s="77">
        <v>1152442.5288730343</v>
      </c>
      <c r="F55" s="77">
        <v>1071266.984520862</v>
      </c>
      <c r="G55" s="366">
        <f>+F55/E55</f>
        <v>0.9295621757107895</v>
      </c>
      <c r="H55" s="364">
        <v>0.9384276928632564</v>
      </c>
      <c r="K55"/>
      <c r="L55"/>
      <c r="M55"/>
      <c r="N55"/>
      <c r="O55"/>
      <c r="P55"/>
    </row>
    <row r="56" spans="2:16" ht="15" customHeight="1">
      <c r="B56" s="275">
        <v>2020</v>
      </c>
      <c r="C56" s="227">
        <v>4278500</v>
      </c>
      <c r="D56" s="210">
        <v>1337031</v>
      </c>
      <c r="E56" s="210">
        <v>1184480</v>
      </c>
      <c r="F56" s="210">
        <v>1108976</v>
      </c>
      <c r="G56" s="432">
        <f>+F56/E56</f>
        <v>0.9362555720653789</v>
      </c>
      <c r="H56" s="365">
        <v>0.9435439343583815</v>
      </c>
      <c r="K56"/>
      <c r="L56"/>
      <c r="M56"/>
      <c r="N56"/>
      <c r="O56"/>
      <c r="P56"/>
    </row>
    <row r="57" spans="2:16" ht="15" customHeight="1" thickBot="1">
      <c r="B57" s="459">
        <v>2021</v>
      </c>
      <c r="C57" s="460">
        <v>4337400</v>
      </c>
      <c r="D57" s="451">
        <v>1355438</v>
      </c>
      <c r="E57" s="451">
        <v>1217409</v>
      </c>
      <c r="F57" s="451">
        <v>1148012</v>
      </c>
      <c r="G57" s="461">
        <f>+F57/E57</f>
        <v>0.942996150020248</v>
      </c>
      <c r="H57" s="462">
        <v>0.9488009521541615</v>
      </c>
      <c r="K57"/>
      <c r="L57"/>
      <c r="M57"/>
      <c r="N57"/>
      <c r="O57"/>
      <c r="P57"/>
    </row>
    <row r="58" spans="2:16" ht="15" customHeight="1">
      <c r="B58"/>
      <c r="C58"/>
      <c r="D58"/>
      <c r="E58"/>
      <c r="F58"/>
      <c r="G58"/>
      <c r="H58"/>
      <c r="K58"/>
      <c r="L58"/>
      <c r="M58"/>
      <c r="N58"/>
      <c r="O58"/>
      <c r="P58"/>
    </row>
    <row r="59" spans="2:16" ht="15" customHeight="1">
      <c r="B59" s="481" t="s">
        <v>153</v>
      </c>
      <c r="C59" s="481"/>
      <c r="D59" s="481"/>
      <c r="E59" s="481"/>
      <c r="F59" s="481"/>
      <c r="G59" s="481"/>
      <c r="H59" s="481"/>
      <c r="K59"/>
      <c r="L59"/>
      <c r="M59"/>
      <c r="N59"/>
      <c r="O59"/>
      <c r="P59"/>
    </row>
    <row r="60" spans="2:16" ht="15" customHeight="1">
      <c r="B60" s="481" t="s">
        <v>149</v>
      </c>
      <c r="C60" s="481"/>
      <c r="D60" s="481"/>
      <c r="E60" s="481"/>
      <c r="F60" s="481"/>
      <c r="G60" s="481"/>
      <c r="H60" s="481"/>
      <c r="K60"/>
      <c r="L60"/>
      <c r="M60"/>
      <c r="N60"/>
      <c r="O60"/>
      <c r="P60"/>
    </row>
    <row r="61" spans="2:16" s="4" customFormat="1" ht="15" customHeight="1">
      <c r="B61" s="482" t="s">
        <v>150</v>
      </c>
      <c r="C61" s="482"/>
      <c r="D61" s="482"/>
      <c r="E61" s="482"/>
      <c r="F61" s="482"/>
      <c r="G61" s="482"/>
      <c r="H61" s="482"/>
      <c r="I61" s="5"/>
      <c r="K61"/>
      <c r="L61"/>
      <c r="M61"/>
      <c r="N61"/>
      <c r="O61"/>
      <c r="P61"/>
    </row>
    <row r="62" spans="2:16" s="4" customFormat="1" ht="15" customHeight="1">
      <c r="B62" s="482"/>
      <c r="C62" s="482"/>
      <c r="D62" s="482"/>
      <c r="E62" s="482"/>
      <c r="F62" s="482"/>
      <c r="G62" s="482"/>
      <c r="H62" s="482"/>
      <c r="I62" s="5"/>
      <c r="K62" s="481"/>
      <c r="L62" s="481"/>
      <c r="M62" s="481"/>
      <c r="N62" s="481"/>
      <c r="O62" s="481"/>
      <c r="P62" s="481"/>
    </row>
    <row r="63" spans="2:16" s="4" customFormat="1" ht="15" customHeight="1">
      <c r="B63" s="481" t="s">
        <v>151</v>
      </c>
      <c r="C63" s="481"/>
      <c r="D63" s="481"/>
      <c r="E63" s="481"/>
      <c r="F63" s="481"/>
      <c r="G63" s="481"/>
      <c r="H63" s="481"/>
      <c r="I63" s="342"/>
      <c r="K63" s="481"/>
      <c r="L63" s="481"/>
      <c r="M63" s="481"/>
      <c r="N63" s="481"/>
      <c r="O63" s="481"/>
      <c r="P63" s="481"/>
    </row>
    <row r="64" spans="2:16" s="4" customFormat="1" ht="15" customHeight="1">
      <c r="B64"/>
      <c r="C64"/>
      <c r="D64"/>
      <c r="E64"/>
      <c r="F64"/>
      <c r="G64"/>
      <c r="H64"/>
      <c r="K64" s="482"/>
      <c r="L64" s="482"/>
      <c r="M64" s="482"/>
      <c r="N64" s="482"/>
      <c r="O64" s="482"/>
      <c r="P64" s="482"/>
    </row>
    <row r="65" spans="2:16" s="4" customFormat="1" ht="15" customHeight="1">
      <c r="B65"/>
      <c r="C65"/>
      <c r="D65"/>
      <c r="E65"/>
      <c r="F65"/>
      <c r="G65"/>
      <c r="H65"/>
      <c r="I65" s="5"/>
      <c r="K65" s="481"/>
      <c r="L65" s="481"/>
      <c r="M65" s="481"/>
      <c r="N65" s="481"/>
      <c r="O65" s="481"/>
      <c r="P65" s="481"/>
    </row>
    <row r="66" spans="2:16" s="4" customFormat="1" ht="15" customHeight="1">
      <c r="B66"/>
      <c r="C66"/>
      <c r="D66"/>
      <c r="E66"/>
      <c r="F66"/>
      <c r="G66"/>
      <c r="H66"/>
      <c r="I66" s="5"/>
      <c r="K66" s="481"/>
      <c r="L66" s="481"/>
      <c r="M66" s="481"/>
      <c r="N66" s="481"/>
      <c r="O66" s="481"/>
      <c r="P66" s="481"/>
    </row>
    <row r="67" spans="2:16" s="4" customFormat="1" ht="15" customHeight="1">
      <c r="B67"/>
      <c r="C67"/>
      <c r="D67"/>
      <c r="E67"/>
      <c r="F67"/>
      <c r="G67"/>
      <c r="H67"/>
      <c r="I67" s="5"/>
      <c r="K67" s="481"/>
      <c r="L67" s="481"/>
      <c r="M67" s="481"/>
      <c r="N67" s="481"/>
      <c r="O67" s="481"/>
      <c r="P67" s="481"/>
    </row>
    <row r="68" spans="2:16" s="4" customFormat="1" ht="15" customHeight="1">
      <c r="B68"/>
      <c r="C68"/>
      <c r="D68"/>
      <c r="E68"/>
      <c r="F68"/>
      <c r="G68"/>
      <c r="H68"/>
      <c r="I68" s="5"/>
      <c r="K68" s="481"/>
      <c r="L68" s="481"/>
      <c r="M68" s="481"/>
      <c r="N68" s="481"/>
      <c r="O68" s="481"/>
      <c r="P68" s="481"/>
    </row>
    <row r="69" spans="2:16" ht="15" customHeight="1">
      <c r="B69"/>
      <c r="C69"/>
      <c r="D69"/>
      <c r="E69"/>
      <c r="F69"/>
      <c r="G69"/>
      <c r="H69"/>
      <c r="I69" s="17" t="s">
        <v>45</v>
      </c>
      <c r="K69" s="21"/>
      <c r="L69" s="17"/>
      <c r="M69" s="17"/>
      <c r="N69" s="17"/>
      <c r="O69" s="17"/>
      <c r="P69" s="17"/>
    </row>
    <row r="70" spans="2:16" ht="15" customHeight="1">
      <c r="B70"/>
      <c r="C70"/>
      <c r="D70"/>
      <c r="E70"/>
      <c r="F70"/>
      <c r="G70"/>
      <c r="H70"/>
      <c r="I70" s="17"/>
      <c r="K70" s="21"/>
      <c r="L70" s="17"/>
      <c r="M70" s="17"/>
      <c r="N70" s="17"/>
      <c r="O70" s="17"/>
      <c r="P70" s="17"/>
    </row>
    <row r="71" spans="2:16" ht="15" customHeight="1">
      <c r="B71"/>
      <c r="C71"/>
      <c r="D71"/>
      <c r="E71"/>
      <c r="F71"/>
      <c r="G71"/>
      <c r="H71"/>
      <c r="I71" s="17"/>
      <c r="K71" s="21"/>
      <c r="L71"/>
      <c r="M71"/>
      <c r="N71"/>
      <c r="O71"/>
      <c r="P71" s="17"/>
    </row>
    <row r="72" spans="2:16" ht="15" customHeight="1">
      <c r="B72"/>
      <c r="C72"/>
      <c r="D72"/>
      <c r="E72"/>
      <c r="F72"/>
      <c r="G72"/>
      <c r="H72"/>
      <c r="I72" s="17"/>
      <c r="K72" s="21"/>
      <c r="L72" s="17"/>
      <c r="M72" s="17"/>
      <c r="N72" s="17"/>
      <c r="O72" s="17"/>
      <c r="P72" s="17"/>
    </row>
    <row r="73" spans="2:16" ht="15" customHeight="1">
      <c r="B73"/>
      <c r="C73"/>
      <c r="D73"/>
      <c r="E73"/>
      <c r="F73"/>
      <c r="G73"/>
      <c r="H73"/>
      <c r="I73" s="17"/>
      <c r="K73" s="21"/>
      <c r="L73" s="17"/>
      <c r="M73" s="17"/>
      <c r="N73" s="17"/>
      <c r="O73" s="17"/>
      <c r="P73" s="17"/>
    </row>
    <row r="74" spans="2:9" ht="15" customHeight="1">
      <c r="B74"/>
      <c r="C74"/>
      <c r="D74"/>
      <c r="E74"/>
      <c r="F74"/>
      <c r="G74"/>
      <c r="H74"/>
      <c r="I74" s="17"/>
    </row>
    <row r="75" spans="2:9" ht="15" customHeight="1">
      <c r="B75"/>
      <c r="C75"/>
      <c r="D75"/>
      <c r="E75"/>
      <c r="F75"/>
      <c r="G75"/>
      <c r="H75"/>
      <c r="I75" s="17"/>
    </row>
    <row r="76" spans="2:9" ht="15" customHeight="1">
      <c r="B76"/>
      <c r="C76"/>
      <c r="D76"/>
      <c r="E76"/>
      <c r="F76"/>
      <c r="G76"/>
      <c r="H76"/>
      <c r="I76" s="17"/>
    </row>
    <row r="77" spans="2:9" ht="15" customHeight="1">
      <c r="B77" s="21"/>
      <c r="C77" s="17"/>
      <c r="D77" s="17"/>
      <c r="E77" s="17"/>
      <c r="F77" s="17"/>
      <c r="G77" s="17"/>
      <c r="H77" s="17"/>
      <c r="I77" s="17"/>
    </row>
    <row r="78" spans="2:9" ht="15" customHeight="1">
      <c r="B78" s="21"/>
      <c r="C78" s="17"/>
      <c r="D78" s="17"/>
      <c r="E78" s="17"/>
      <c r="F78" s="17"/>
      <c r="G78" s="17"/>
      <c r="H78" s="17"/>
      <c r="I78" s="17"/>
    </row>
    <row r="79" spans="2:9" ht="15" customHeight="1">
      <c r="B79" s="21"/>
      <c r="C79" s="17"/>
      <c r="D79" s="17"/>
      <c r="E79" s="17"/>
      <c r="F79" s="17"/>
      <c r="G79" s="17"/>
      <c r="H79" s="17"/>
      <c r="I79" s="17"/>
    </row>
    <row r="80" spans="2:9" ht="15" customHeight="1">
      <c r="B80" s="21"/>
      <c r="C80" s="17"/>
      <c r="D80" s="17"/>
      <c r="E80" s="17"/>
      <c r="F80" s="17"/>
      <c r="G80" s="17"/>
      <c r="H80" s="17"/>
      <c r="I80" s="17"/>
    </row>
    <row r="81" spans="2:9" ht="15" customHeight="1">
      <c r="B81" s="21"/>
      <c r="C81" s="17"/>
      <c r="D81" s="17"/>
      <c r="E81" s="17"/>
      <c r="F81" s="17"/>
      <c r="G81" s="17"/>
      <c r="H81" s="17"/>
      <c r="I81" s="17"/>
    </row>
    <row r="82" spans="2:9" ht="15" customHeight="1">
      <c r="B82" s="21"/>
      <c r="C82" s="17"/>
      <c r="D82" s="17"/>
      <c r="E82" s="17"/>
      <c r="F82" s="17"/>
      <c r="G82" s="17"/>
      <c r="H82" s="17"/>
      <c r="I82" s="17"/>
    </row>
    <row r="83" spans="2:9" ht="15" customHeight="1">
      <c r="B83" s="21"/>
      <c r="C83" s="17"/>
      <c r="D83" s="17"/>
      <c r="E83" s="17"/>
      <c r="F83" s="17"/>
      <c r="G83" s="17"/>
      <c r="H83" s="17"/>
      <c r="I83" s="17"/>
    </row>
  </sheetData>
  <sheetProtection/>
  <mergeCells count="15">
    <mergeCell ref="B62:H62"/>
    <mergeCell ref="B63:H63"/>
    <mergeCell ref="K67:P67"/>
    <mergeCell ref="K65:P65"/>
    <mergeCell ref="K66:P66"/>
    <mergeCell ref="B1:H1"/>
    <mergeCell ref="B2:H2"/>
    <mergeCell ref="B3:H3"/>
    <mergeCell ref="K68:P68"/>
    <mergeCell ref="K62:P62"/>
    <mergeCell ref="K63:P63"/>
    <mergeCell ref="K64:P64"/>
    <mergeCell ref="B59:H59"/>
    <mergeCell ref="B60:H60"/>
    <mergeCell ref="B61:H61"/>
  </mergeCells>
  <printOptions horizontalCentered="1"/>
  <pageMargins left="0.7874015748031497" right="0.3937007874015748" top="0.3937007874015748" bottom="0.7874015748031497" header="0" footer="0"/>
  <pageSetup horizontalDpi="300" verticalDpi="300" orientation="landscape" paperSize="14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B1:L88"/>
  <sheetViews>
    <sheetView zoomScalePageLayoutView="0" workbookViewId="0" topLeftCell="A43">
      <selection activeCell="I59" sqref="I59"/>
    </sheetView>
  </sheetViews>
  <sheetFormatPr defaultColWidth="11.00390625" defaultRowHeight="15" customHeight="1"/>
  <cols>
    <col min="1" max="1" width="2.7109375" style="13" customWidth="1"/>
    <col min="2" max="2" width="15.7109375" style="15" customWidth="1"/>
    <col min="3" max="7" width="15.7109375" style="13" customWidth="1"/>
    <col min="8" max="10" width="11.00390625" style="13" customWidth="1"/>
    <col min="11" max="11" width="13.28125" style="13" customWidth="1"/>
    <col min="12" max="12" width="14.421875" style="13" customWidth="1"/>
    <col min="13" max="13" width="13.28125" style="13" customWidth="1"/>
    <col min="14" max="14" width="14.421875" style="13" customWidth="1"/>
    <col min="15" max="15" width="13.28125" style="13" customWidth="1"/>
    <col min="16" max="16384" width="11.00390625" style="13" customWidth="1"/>
  </cols>
  <sheetData>
    <row r="1" spans="2:8" ht="15" customHeight="1">
      <c r="B1" s="479" t="s">
        <v>33</v>
      </c>
      <c r="C1" s="479"/>
      <c r="D1" s="479"/>
      <c r="E1" s="479"/>
      <c r="F1" s="479"/>
      <c r="G1" s="479"/>
      <c r="H1" s="17"/>
    </row>
    <row r="2" spans="2:8" ht="15" customHeight="1">
      <c r="B2" s="477" t="s">
        <v>34</v>
      </c>
      <c r="C2" s="477"/>
      <c r="D2" s="477"/>
      <c r="E2" s="477"/>
      <c r="F2" s="477"/>
      <c r="G2" s="477"/>
      <c r="H2" s="17"/>
    </row>
    <row r="3" spans="2:8" ht="15" customHeight="1">
      <c r="B3" s="479" t="s">
        <v>191</v>
      </c>
      <c r="C3" s="479"/>
      <c r="D3" s="479"/>
      <c r="E3" s="479"/>
      <c r="F3" s="479"/>
      <c r="G3" s="479"/>
      <c r="H3" s="17"/>
    </row>
    <row r="4" spans="2:8" ht="15" customHeight="1" thickBot="1">
      <c r="B4" s="21"/>
      <c r="C4" s="17"/>
      <c r="D4" s="17"/>
      <c r="E4" s="17"/>
      <c r="F4" s="17"/>
      <c r="G4" s="17"/>
      <c r="H4" s="17"/>
    </row>
    <row r="5" spans="2:8" s="15" customFormat="1" ht="24.75" customHeight="1" thickBot="1">
      <c r="B5" s="285" t="s">
        <v>83</v>
      </c>
      <c r="C5" s="286" t="s">
        <v>47</v>
      </c>
      <c r="D5" s="287" t="s">
        <v>87</v>
      </c>
      <c r="E5" s="287" t="s">
        <v>88</v>
      </c>
      <c r="F5" s="287" t="s">
        <v>107</v>
      </c>
      <c r="G5" s="288" t="s">
        <v>108</v>
      </c>
      <c r="H5" s="21"/>
    </row>
    <row r="6" spans="2:8" ht="15" customHeight="1">
      <c r="B6" s="277">
        <v>1970</v>
      </c>
      <c r="C6" s="78">
        <f aca="true" t="shared" si="0" ref="C6:C40">SUM(D6:G6)</f>
        <v>134051</v>
      </c>
      <c r="D6" s="79">
        <v>115443</v>
      </c>
      <c r="E6" s="79">
        <v>16088</v>
      </c>
      <c r="F6" s="79">
        <v>843</v>
      </c>
      <c r="G6" s="80">
        <v>1677</v>
      </c>
      <c r="H6" s="17"/>
    </row>
    <row r="7" spans="2:8" ht="15" customHeight="1">
      <c r="B7" s="244">
        <v>1971</v>
      </c>
      <c r="C7" s="81">
        <f t="shared" si="0"/>
        <v>145457</v>
      </c>
      <c r="D7" s="76">
        <v>125964</v>
      </c>
      <c r="E7" s="76">
        <v>16772</v>
      </c>
      <c r="F7" s="76">
        <v>873</v>
      </c>
      <c r="G7" s="82">
        <v>1848</v>
      </c>
      <c r="H7" s="17"/>
    </row>
    <row r="8" spans="2:8" ht="15" customHeight="1">
      <c r="B8" s="244">
        <v>1972</v>
      </c>
      <c r="C8" s="81">
        <f t="shared" si="0"/>
        <v>154487</v>
      </c>
      <c r="D8" s="76">
        <v>133961</v>
      </c>
      <c r="E8" s="76">
        <v>17714</v>
      </c>
      <c r="F8" s="76">
        <v>865</v>
      </c>
      <c r="G8" s="82">
        <v>1947</v>
      </c>
      <c r="H8" s="17"/>
    </row>
    <row r="9" spans="2:8" ht="15" customHeight="1">
      <c r="B9" s="244">
        <v>1973</v>
      </c>
      <c r="C9" s="81">
        <f t="shared" si="0"/>
        <v>163059</v>
      </c>
      <c r="D9" s="76">
        <v>142713</v>
      </c>
      <c r="E9" s="76">
        <v>17458</v>
      </c>
      <c r="F9" s="76">
        <v>886</v>
      </c>
      <c r="G9" s="82">
        <v>2002</v>
      </c>
      <c r="H9" s="17"/>
    </row>
    <row r="10" spans="2:8" ht="15" customHeight="1">
      <c r="B10" s="244">
        <v>1974</v>
      </c>
      <c r="C10" s="81">
        <f t="shared" si="0"/>
        <v>173096</v>
      </c>
      <c r="D10" s="76">
        <v>151631</v>
      </c>
      <c r="E10" s="76">
        <v>18431</v>
      </c>
      <c r="F10" s="76">
        <v>880</v>
      </c>
      <c r="G10" s="82">
        <v>2154</v>
      </c>
      <c r="H10" s="17"/>
    </row>
    <row r="11" spans="2:8" ht="15" customHeight="1">
      <c r="B11" s="244">
        <v>1975</v>
      </c>
      <c r="C11" s="81">
        <f t="shared" si="0"/>
        <v>181383</v>
      </c>
      <c r="D11" s="76">
        <v>159095</v>
      </c>
      <c r="E11" s="76">
        <v>18912</v>
      </c>
      <c r="F11" s="76">
        <v>944</v>
      </c>
      <c r="G11" s="82">
        <v>2432</v>
      </c>
      <c r="H11" s="17"/>
    </row>
    <row r="12" spans="2:8" ht="15" customHeight="1">
      <c r="B12" s="244">
        <v>1976</v>
      </c>
      <c r="C12" s="81">
        <f t="shared" si="0"/>
        <v>190076</v>
      </c>
      <c r="D12" s="76">
        <v>167197</v>
      </c>
      <c r="E12" s="76">
        <v>19027</v>
      </c>
      <c r="F12" s="76">
        <v>998</v>
      </c>
      <c r="G12" s="82">
        <v>2854</v>
      </c>
      <c r="H12" s="17"/>
    </row>
    <row r="13" spans="2:8" ht="15" customHeight="1">
      <c r="B13" s="244">
        <v>1977</v>
      </c>
      <c r="C13" s="81">
        <f t="shared" si="0"/>
        <v>200952</v>
      </c>
      <c r="D13" s="76">
        <v>177318</v>
      </c>
      <c r="E13" s="76">
        <v>19562</v>
      </c>
      <c r="F13" s="76">
        <v>946</v>
      </c>
      <c r="G13" s="82">
        <v>3126</v>
      </c>
      <c r="H13" s="17"/>
    </row>
    <row r="14" spans="2:8" ht="15" customHeight="1">
      <c r="B14" s="244">
        <v>1978</v>
      </c>
      <c r="C14" s="81">
        <f t="shared" si="0"/>
        <v>207350</v>
      </c>
      <c r="D14" s="76">
        <v>183200</v>
      </c>
      <c r="E14" s="76">
        <v>19952</v>
      </c>
      <c r="F14" s="76">
        <v>902</v>
      </c>
      <c r="G14" s="82">
        <v>3296</v>
      </c>
      <c r="H14" s="17"/>
    </row>
    <row r="15" spans="2:8" ht="15" customHeight="1">
      <c r="B15" s="244">
        <v>1979</v>
      </c>
      <c r="C15" s="81">
        <f t="shared" si="0"/>
        <v>220392</v>
      </c>
      <c r="D15" s="76">
        <v>194660</v>
      </c>
      <c r="E15" s="76">
        <v>21102</v>
      </c>
      <c r="F15" s="76">
        <v>874</v>
      </c>
      <c r="G15" s="82">
        <v>3756</v>
      </c>
      <c r="H15" s="17"/>
    </row>
    <row r="16" spans="2:8" ht="15" customHeight="1">
      <c r="B16" s="244">
        <v>1980</v>
      </c>
      <c r="C16" s="81">
        <f t="shared" si="0"/>
        <v>229091</v>
      </c>
      <c r="D16" s="76">
        <v>202237</v>
      </c>
      <c r="E16" s="76">
        <v>21894</v>
      </c>
      <c r="F16" s="76">
        <v>855</v>
      </c>
      <c r="G16" s="82">
        <v>4105</v>
      </c>
      <c r="H16" s="17"/>
    </row>
    <row r="17" spans="2:8" ht="15" customHeight="1">
      <c r="B17" s="244">
        <v>1981</v>
      </c>
      <c r="C17" s="81">
        <f t="shared" si="0"/>
        <v>237313</v>
      </c>
      <c r="D17" s="76">
        <v>209502</v>
      </c>
      <c r="E17" s="76">
        <v>22653</v>
      </c>
      <c r="F17" s="76">
        <v>845</v>
      </c>
      <c r="G17" s="82">
        <v>4313</v>
      </c>
      <c r="H17" s="17"/>
    </row>
    <row r="18" spans="2:8" ht="15" customHeight="1">
      <c r="B18" s="244">
        <v>1982</v>
      </c>
      <c r="C18" s="81">
        <f t="shared" si="0"/>
        <v>249418</v>
      </c>
      <c r="D18" s="76">
        <v>220216</v>
      </c>
      <c r="E18" s="76">
        <v>23634</v>
      </c>
      <c r="F18" s="76">
        <v>902</v>
      </c>
      <c r="G18" s="82">
        <v>4666</v>
      </c>
      <c r="H18" s="17"/>
    </row>
    <row r="19" spans="2:8" ht="15" customHeight="1">
      <c r="B19" s="244">
        <v>1983</v>
      </c>
      <c r="C19" s="81">
        <f t="shared" si="0"/>
        <v>260064</v>
      </c>
      <c r="D19" s="76">
        <v>229536</v>
      </c>
      <c r="E19" s="76">
        <v>24674</v>
      </c>
      <c r="F19" s="76">
        <v>957</v>
      </c>
      <c r="G19" s="82">
        <v>4897</v>
      </c>
      <c r="H19" s="17"/>
    </row>
    <row r="20" spans="2:8" ht="15" customHeight="1">
      <c r="B20" s="244">
        <v>1984</v>
      </c>
      <c r="C20" s="81">
        <f t="shared" si="0"/>
        <v>270434</v>
      </c>
      <c r="D20" s="76">
        <v>238479</v>
      </c>
      <c r="E20" s="76">
        <v>25947</v>
      </c>
      <c r="F20" s="76">
        <v>989</v>
      </c>
      <c r="G20" s="82">
        <v>5019</v>
      </c>
      <c r="H20" s="17"/>
    </row>
    <row r="21" spans="2:8" ht="15" customHeight="1">
      <c r="B21" s="244">
        <v>1985</v>
      </c>
      <c r="C21" s="81">
        <f t="shared" si="0"/>
        <v>282884</v>
      </c>
      <c r="D21" s="76">
        <v>249232</v>
      </c>
      <c r="E21" s="76">
        <v>27335</v>
      </c>
      <c r="F21" s="76">
        <v>1065</v>
      </c>
      <c r="G21" s="82">
        <v>5252</v>
      </c>
      <c r="H21" s="17"/>
    </row>
    <row r="22" spans="2:8" ht="15" customHeight="1">
      <c r="B22" s="244">
        <v>1986</v>
      </c>
      <c r="C22" s="81">
        <f t="shared" si="0"/>
        <v>292176</v>
      </c>
      <c r="D22" s="76">
        <v>257009</v>
      </c>
      <c r="E22" s="76">
        <v>28487</v>
      </c>
      <c r="F22" s="76">
        <v>1055</v>
      </c>
      <c r="G22" s="82">
        <v>5625</v>
      </c>
      <c r="H22" s="17"/>
    </row>
    <row r="23" spans="2:8" ht="15" customHeight="1">
      <c r="B23" s="244">
        <v>1987</v>
      </c>
      <c r="C23" s="81">
        <f t="shared" si="0"/>
        <v>304047</v>
      </c>
      <c r="D23" s="76">
        <v>267708</v>
      </c>
      <c r="E23" s="76">
        <v>29282</v>
      </c>
      <c r="F23" s="76">
        <v>1075</v>
      </c>
      <c r="G23" s="82">
        <v>5982</v>
      </c>
      <c r="H23" s="17"/>
    </row>
    <row r="24" spans="2:8" ht="15" customHeight="1">
      <c r="B24" s="244">
        <v>1988</v>
      </c>
      <c r="C24" s="81">
        <f t="shared" si="0"/>
        <v>306927</v>
      </c>
      <c r="D24" s="76">
        <v>270589</v>
      </c>
      <c r="E24" s="76">
        <v>29280</v>
      </c>
      <c r="F24" s="76">
        <v>958</v>
      </c>
      <c r="G24" s="82">
        <v>6100</v>
      </c>
      <c r="H24" s="17"/>
    </row>
    <row r="25" spans="2:8" ht="15" customHeight="1">
      <c r="B25" s="244">
        <v>1989</v>
      </c>
      <c r="C25" s="81">
        <f t="shared" si="0"/>
        <v>312466</v>
      </c>
      <c r="D25" s="76">
        <v>275447</v>
      </c>
      <c r="E25" s="76">
        <v>29927</v>
      </c>
      <c r="F25" s="76">
        <v>930</v>
      </c>
      <c r="G25" s="82">
        <v>6162</v>
      </c>
      <c r="H25" s="17"/>
    </row>
    <row r="26" spans="2:8" ht="15" customHeight="1">
      <c r="B26" s="244">
        <v>1990</v>
      </c>
      <c r="C26" s="81">
        <f t="shared" si="0"/>
        <v>322817</v>
      </c>
      <c r="D26" s="76">
        <v>284612</v>
      </c>
      <c r="E26" s="76">
        <v>31105</v>
      </c>
      <c r="F26" s="76">
        <v>928</v>
      </c>
      <c r="G26" s="82">
        <f>5928+244</f>
        <v>6172</v>
      </c>
      <c r="H26" s="17"/>
    </row>
    <row r="27" spans="2:8" ht="15" customHeight="1">
      <c r="B27" s="244">
        <v>1991</v>
      </c>
      <c r="C27" s="81">
        <f t="shared" si="0"/>
        <v>339028</v>
      </c>
      <c r="D27" s="76">
        <v>298525</v>
      </c>
      <c r="E27" s="76">
        <v>33338</v>
      </c>
      <c r="F27" s="76">
        <v>913</v>
      </c>
      <c r="G27" s="82">
        <f>6007+245</f>
        <v>6252</v>
      </c>
      <c r="H27" s="17"/>
    </row>
    <row r="28" spans="2:8" ht="15" customHeight="1">
      <c r="B28" s="244">
        <v>1992</v>
      </c>
      <c r="C28" s="81">
        <f t="shared" si="0"/>
        <v>348725</v>
      </c>
      <c r="D28" s="76">
        <v>306284</v>
      </c>
      <c r="E28" s="76">
        <v>34892</v>
      </c>
      <c r="F28" s="76">
        <v>998</v>
      </c>
      <c r="G28" s="82">
        <f>6303+248</f>
        <v>6551</v>
      </c>
      <c r="H28" s="17"/>
    </row>
    <row r="29" spans="2:8" ht="15" customHeight="1">
      <c r="B29" s="244">
        <v>1993</v>
      </c>
      <c r="C29" s="81">
        <f t="shared" si="0"/>
        <v>360396</v>
      </c>
      <c r="D29" s="76">
        <v>315395</v>
      </c>
      <c r="E29" s="76">
        <v>37137</v>
      </c>
      <c r="F29" s="76">
        <v>1040</v>
      </c>
      <c r="G29" s="82">
        <v>6824</v>
      </c>
      <c r="H29" s="17"/>
    </row>
    <row r="30" spans="2:8" ht="15" customHeight="1">
      <c r="B30" s="244">
        <v>1994</v>
      </c>
      <c r="C30" s="81">
        <f t="shared" si="0"/>
        <v>375990</v>
      </c>
      <c r="D30" s="76">
        <v>328450</v>
      </c>
      <c r="E30" s="76">
        <f>39412+12</f>
        <v>39424</v>
      </c>
      <c r="F30" s="76">
        <v>1050</v>
      </c>
      <c r="G30" s="82">
        <f>7078-12</f>
        <v>7066</v>
      </c>
      <c r="H30" s="47"/>
    </row>
    <row r="31" spans="2:7" ht="15" customHeight="1">
      <c r="B31" s="244">
        <v>1995</v>
      </c>
      <c r="C31" s="81">
        <f t="shared" si="0"/>
        <v>392876</v>
      </c>
      <c r="D31" s="76">
        <v>342650</v>
      </c>
      <c r="E31" s="76">
        <v>41776</v>
      </c>
      <c r="F31" s="76">
        <v>1070</v>
      </c>
      <c r="G31" s="82">
        <f>619+3060+3414+276+11</f>
        <v>7380</v>
      </c>
    </row>
    <row r="32" spans="2:7" ht="15" customHeight="1">
      <c r="B32" s="244">
        <v>1996</v>
      </c>
      <c r="C32" s="81">
        <f>SUM(D32:G32)</f>
        <v>408149</v>
      </c>
      <c r="D32" s="76">
        <v>355728</v>
      </c>
      <c r="E32" s="76">
        <v>43564</v>
      </c>
      <c r="F32" s="76">
        <v>1199</v>
      </c>
      <c r="G32" s="82">
        <v>7658</v>
      </c>
    </row>
    <row r="33" spans="2:7" ht="15" customHeight="1">
      <c r="B33" s="244">
        <v>1997</v>
      </c>
      <c r="C33" s="81">
        <f t="shared" si="0"/>
        <v>426483</v>
      </c>
      <c r="D33" s="76">
        <v>371357</v>
      </c>
      <c r="E33" s="76">
        <v>46048</v>
      </c>
      <c r="F33" s="76">
        <v>1248</v>
      </c>
      <c r="G33" s="82">
        <f>7527+303</f>
        <v>7830</v>
      </c>
    </row>
    <row r="34" spans="2:7" ht="15" customHeight="1">
      <c r="B34" s="278">
        <v>1998</v>
      </c>
      <c r="C34" s="81">
        <f t="shared" si="0"/>
        <v>451441</v>
      </c>
      <c r="D34" s="77">
        <f>182560+151690+58229</f>
        <v>392479</v>
      </c>
      <c r="E34" s="77">
        <f>13702+8553+28625</f>
        <v>50880</v>
      </c>
      <c r="F34" s="77">
        <f>238+332+626</f>
        <v>1196</v>
      </c>
      <c r="G34" s="83">
        <v>6886</v>
      </c>
    </row>
    <row r="35" spans="2:7" ht="15" customHeight="1">
      <c r="B35" s="278">
        <v>1999</v>
      </c>
      <c r="C35" s="81">
        <f>SUM(D35:G35)</f>
        <v>488934</v>
      </c>
      <c r="D35" s="77">
        <v>417891</v>
      </c>
      <c r="E35" s="77">
        <v>62386</v>
      </c>
      <c r="F35" s="77">
        <v>1503</v>
      </c>
      <c r="G35" s="83">
        <v>7154</v>
      </c>
    </row>
    <row r="36" spans="2:7" ht="15" customHeight="1">
      <c r="B36" s="279">
        <v>2000</v>
      </c>
      <c r="C36" s="81">
        <f>SUM(D36:G36)</f>
        <v>523117</v>
      </c>
      <c r="D36" s="155">
        <v>456864</v>
      </c>
      <c r="E36" s="155">
        <v>57328</v>
      </c>
      <c r="F36" s="155">
        <v>1493</v>
      </c>
      <c r="G36" s="156">
        <v>7432</v>
      </c>
    </row>
    <row r="37" spans="2:7" ht="15" customHeight="1">
      <c r="B37" s="278">
        <v>2001</v>
      </c>
      <c r="C37" s="81">
        <f>SUM(D37:G37)</f>
        <v>538603</v>
      </c>
      <c r="D37" s="77">
        <v>471994</v>
      </c>
      <c r="E37" s="77">
        <v>57588</v>
      </c>
      <c r="F37" s="77">
        <v>1478</v>
      </c>
      <c r="G37" s="83">
        <v>7543</v>
      </c>
    </row>
    <row r="38" spans="2:7" ht="15" customHeight="1">
      <c r="B38" s="278">
        <v>2002</v>
      </c>
      <c r="C38" s="81">
        <f>SUM(D38:G38)</f>
        <v>580975</v>
      </c>
      <c r="D38" s="77">
        <v>512436</v>
      </c>
      <c r="E38" s="77">
        <v>59305</v>
      </c>
      <c r="F38" s="77">
        <v>1369</v>
      </c>
      <c r="G38" s="83">
        <v>7865</v>
      </c>
    </row>
    <row r="39" spans="2:7" ht="15" customHeight="1">
      <c r="B39" s="278">
        <v>2003</v>
      </c>
      <c r="C39" s="81">
        <f>SUM(D39:G39)</f>
        <v>612831</v>
      </c>
      <c r="D39" s="77">
        <v>543583</v>
      </c>
      <c r="E39" s="77">
        <v>59916</v>
      </c>
      <c r="F39" s="77">
        <v>1406</v>
      </c>
      <c r="G39" s="83">
        <v>7926</v>
      </c>
    </row>
    <row r="40" spans="2:12" ht="15" customHeight="1">
      <c r="B40" s="280">
        <v>2004</v>
      </c>
      <c r="C40" s="209">
        <f t="shared" si="0"/>
        <v>646352</v>
      </c>
      <c r="D40" s="210">
        <v>575133</v>
      </c>
      <c r="E40" s="210">
        <v>61681</v>
      </c>
      <c r="F40" s="210">
        <v>1391</v>
      </c>
      <c r="G40" s="211">
        <v>8147</v>
      </c>
      <c r="H40" s="49"/>
      <c r="I40" s="49"/>
      <c r="J40" s="49"/>
      <c r="K40" s="49"/>
      <c r="L40" s="49"/>
    </row>
    <row r="41" spans="2:12" ht="15" customHeight="1">
      <c r="B41" s="278">
        <v>2005</v>
      </c>
      <c r="C41" s="81">
        <f>SUM(D41:G41)</f>
        <v>678233</v>
      </c>
      <c r="D41" s="77">
        <v>605033</v>
      </c>
      <c r="E41" s="77">
        <v>63565</v>
      </c>
      <c r="F41" s="77">
        <v>1354</v>
      </c>
      <c r="G41" s="83">
        <v>8281</v>
      </c>
      <c r="H41" s="49"/>
      <c r="I41" s="49"/>
      <c r="J41" s="49"/>
      <c r="K41" s="49"/>
      <c r="L41" s="49"/>
    </row>
    <row r="42" spans="2:12" ht="15" customHeight="1">
      <c r="B42" s="278">
        <v>2006</v>
      </c>
      <c r="C42" s="81">
        <f>SUM(D42:G42)</f>
        <v>712999</v>
      </c>
      <c r="D42" s="77">
        <v>636449</v>
      </c>
      <c r="E42" s="77">
        <v>66774</v>
      </c>
      <c r="F42" s="77">
        <v>1384</v>
      </c>
      <c r="G42" s="83">
        <v>8392</v>
      </c>
      <c r="H42" s="49"/>
      <c r="I42" s="49"/>
      <c r="J42" s="49"/>
      <c r="K42" s="49"/>
      <c r="L42" s="49"/>
    </row>
    <row r="43" spans="2:12" ht="15" customHeight="1">
      <c r="B43" s="280">
        <v>2007</v>
      </c>
      <c r="C43" s="209">
        <f>SUM(D43:G43)</f>
        <v>745247</v>
      </c>
      <c r="D43" s="210">
        <v>665910</v>
      </c>
      <c r="E43" s="210">
        <v>69323</v>
      </c>
      <c r="F43" s="210">
        <v>1448</v>
      </c>
      <c r="G43" s="211">
        <v>8566</v>
      </c>
      <c r="H43" s="49"/>
      <c r="I43" s="49"/>
      <c r="J43" s="49"/>
      <c r="K43" s="49"/>
      <c r="L43" s="49"/>
    </row>
    <row r="44" spans="2:12" ht="15" customHeight="1">
      <c r="B44" s="279">
        <v>2008</v>
      </c>
      <c r="C44" s="230">
        <f>SUM(D44:G44)</f>
        <v>775567</v>
      </c>
      <c r="D44" s="155">
        <v>692177</v>
      </c>
      <c r="E44" s="155">
        <v>73105</v>
      </c>
      <c r="F44" s="155">
        <v>1504</v>
      </c>
      <c r="G44" s="156">
        <v>8781</v>
      </c>
      <c r="H44" s="49"/>
      <c r="I44" s="49"/>
      <c r="J44" s="49"/>
      <c r="K44" s="49"/>
      <c r="L44" s="49"/>
    </row>
    <row r="45" spans="2:12" ht="15" customHeight="1">
      <c r="B45" s="279">
        <v>2009</v>
      </c>
      <c r="C45" s="230">
        <f>SUM(D45:G45)</f>
        <v>799767</v>
      </c>
      <c r="D45" s="155">
        <v>715739</v>
      </c>
      <c r="E45" s="155">
        <v>73029</v>
      </c>
      <c r="F45" s="155">
        <v>1605</v>
      </c>
      <c r="G45" s="156">
        <v>9394</v>
      </c>
      <c r="H45" s="49"/>
      <c r="I45" s="49"/>
      <c r="J45" s="49"/>
      <c r="K45" s="49"/>
      <c r="L45" s="49"/>
    </row>
    <row r="46" spans="2:12" ht="15" customHeight="1">
      <c r="B46" s="279">
        <v>2010</v>
      </c>
      <c r="C46" s="230">
        <f aca="true" t="shared" si="1" ref="C46:C53">SUM(D46:G46)</f>
        <v>824946</v>
      </c>
      <c r="D46" s="155">
        <v>736611</v>
      </c>
      <c r="E46" s="155">
        <v>76794</v>
      </c>
      <c r="F46" s="155">
        <v>1610</v>
      </c>
      <c r="G46" s="156">
        <v>9931</v>
      </c>
      <c r="H46" s="49"/>
      <c r="I46" s="49"/>
      <c r="J46" s="49"/>
      <c r="K46" s="49"/>
      <c r="L46" s="49"/>
    </row>
    <row r="47" spans="2:12" ht="15" customHeight="1">
      <c r="B47" s="278">
        <v>2011</v>
      </c>
      <c r="C47" s="81">
        <f t="shared" si="1"/>
        <v>853547</v>
      </c>
      <c r="D47" s="77">
        <v>761941</v>
      </c>
      <c r="E47" s="77">
        <v>79777</v>
      </c>
      <c r="F47" s="77">
        <v>1605</v>
      </c>
      <c r="G47" s="83">
        <v>10224</v>
      </c>
      <c r="H47" s="49"/>
      <c r="I47" s="49"/>
      <c r="J47" s="49"/>
      <c r="K47" s="49"/>
      <c r="L47" s="49"/>
    </row>
    <row r="48" spans="2:12" ht="15" customHeight="1">
      <c r="B48" s="278">
        <v>2012</v>
      </c>
      <c r="C48" s="81">
        <f t="shared" si="1"/>
        <v>883582</v>
      </c>
      <c r="D48" s="77">
        <v>789300</v>
      </c>
      <c r="E48" s="77">
        <v>82162</v>
      </c>
      <c r="F48" s="77">
        <v>1608</v>
      </c>
      <c r="G48" s="83">
        <v>10512</v>
      </c>
      <c r="H48" s="49"/>
      <c r="I48" s="49"/>
      <c r="J48" s="49"/>
      <c r="K48" s="49"/>
      <c r="L48" s="49"/>
    </row>
    <row r="49" spans="2:12" ht="15" customHeight="1">
      <c r="B49" s="278">
        <v>2013</v>
      </c>
      <c r="C49" s="81">
        <f t="shared" si="1"/>
        <v>919478</v>
      </c>
      <c r="D49" s="77">
        <v>822450</v>
      </c>
      <c r="E49" s="77">
        <v>84433</v>
      </c>
      <c r="F49" s="77">
        <v>1775</v>
      </c>
      <c r="G49" s="83">
        <v>10820</v>
      </c>
      <c r="H49" s="49"/>
      <c r="I49" s="49"/>
      <c r="J49" s="49"/>
      <c r="K49" s="49"/>
      <c r="L49" s="49"/>
    </row>
    <row r="50" spans="2:12" ht="15" customHeight="1">
      <c r="B50" s="278">
        <v>2014</v>
      </c>
      <c r="C50" s="81">
        <f t="shared" si="1"/>
        <v>956218</v>
      </c>
      <c r="D50" s="77">
        <v>855938</v>
      </c>
      <c r="E50" s="77">
        <v>87373</v>
      </c>
      <c r="F50" s="77">
        <v>1808</v>
      </c>
      <c r="G50" s="83">
        <v>11099</v>
      </c>
      <c r="H50" s="49"/>
      <c r="I50" s="49"/>
      <c r="J50" s="49"/>
      <c r="K50" s="49"/>
      <c r="L50" s="49"/>
    </row>
    <row r="51" spans="2:12" ht="15" customHeight="1">
      <c r="B51" s="278">
        <v>2015</v>
      </c>
      <c r="C51" s="81">
        <f t="shared" si="1"/>
        <v>1004047</v>
      </c>
      <c r="D51" s="77">
        <v>893172</v>
      </c>
      <c r="E51" s="77">
        <v>97540</v>
      </c>
      <c r="F51" s="77">
        <v>1835</v>
      </c>
      <c r="G51" s="83">
        <v>11500</v>
      </c>
      <c r="H51" s="49"/>
      <c r="I51" s="49"/>
      <c r="J51" s="49"/>
      <c r="K51" s="49"/>
      <c r="L51" s="49"/>
    </row>
    <row r="52" spans="2:12" ht="15" customHeight="1">
      <c r="B52" s="278">
        <v>2016</v>
      </c>
      <c r="C52" s="81">
        <f t="shared" si="1"/>
        <v>1042500</v>
      </c>
      <c r="D52" s="77">
        <v>928181</v>
      </c>
      <c r="E52" s="77">
        <v>100641</v>
      </c>
      <c r="F52" s="77">
        <v>1859</v>
      </c>
      <c r="G52" s="83">
        <v>11819</v>
      </c>
      <c r="H52" s="49"/>
      <c r="I52" s="49"/>
      <c r="J52" s="49"/>
      <c r="K52" s="49"/>
      <c r="L52" s="49"/>
    </row>
    <row r="53" spans="2:12" ht="15" customHeight="1">
      <c r="B53" s="280">
        <v>2017</v>
      </c>
      <c r="C53" s="209">
        <f t="shared" si="1"/>
        <v>1075971</v>
      </c>
      <c r="D53" s="210">
        <v>959029</v>
      </c>
      <c r="E53" s="210">
        <v>102870</v>
      </c>
      <c r="F53" s="210">
        <v>1837</v>
      </c>
      <c r="G53" s="211">
        <v>12235</v>
      </c>
      <c r="H53" s="49"/>
      <c r="I53" s="49"/>
      <c r="J53" s="49"/>
      <c r="K53" s="49"/>
      <c r="L53" s="438"/>
    </row>
    <row r="54" spans="2:12" ht="15" customHeight="1">
      <c r="B54" s="278">
        <v>2018</v>
      </c>
      <c r="C54" s="81">
        <f>SUM(D54:G54)</f>
        <v>1103845</v>
      </c>
      <c r="D54" s="77">
        <v>986100</v>
      </c>
      <c r="E54" s="77">
        <v>103345</v>
      </c>
      <c r="F54" s="77">
        <v>1842</v>
      </c>
      <c r="G54" s="83">
        <v>12558</v>
      </c>
      <c r="H54" s="49"/>
      <c r="I54" s="49"/>
      <c r="J54" s="49"/>
      <c r="K54" s="49"/>
      <c r="L54" s="438"/>
    </row>
    <row r="55" spans="2:12" ht="15" customHeight="1">
      <c r="B55" s="278">
        <v>2019</v>
      </c>
      <c r="C55" s="81">
        <f>SUM(D55:G55)</f>
        <v>1152294</v>
      </c>
      <c r="D55" s="77">
        <v>1029909</v>
      </c>
      <c r="E55" s="77">
        <v>107403</v>
      </c>
      <c r="F55" s="77">
        <v>1910</v>
      </c>
      <c r="G55" s="83">
        <v>13072</v>
      </c>
      <c r="H55" s="49"/>
      <c r="I55" s="49"/>
      <c r="J55" s="49"/>
      <c r="K55" s="49"/>
      <c r="L55" s="438"/>
    </row>
    <row r="56" spans="2:12" ht="15" customHeight="1">
      <c r="B56" s="280">
        <v>2020</v>
      </c>
      <c r="C56" s="209">
        <f>SUM(D56:G56)</f>
        <v>1177176</v>
      </c>
      <c r="D56" s="210">
        <v>1053785</v>
      </c>
      <c r="E56" s="210">
        <v>108390</v>
      </c>
      <c r="F56" s="210">
        <v>1877</v>
      </c>
      <c r="G56" s="211">
        <v>13124</v>
      </c>
      <c r="H56" s="49"/>
      <c r="I56" s="49"/>
      <c r="J56" s="49"/>
      <c r="K56" s="49"/>
      <c r="L56" s="438"/>
    </row>
    <row r="57" spans="2:12" ht="15" customHeight="1" thickBot="1">
      <c r="B57" s="449">
        <v>2021</v>
      </c>
      <c r="C57" s="450">
        <f>SUM(D57:G57)</f>
        <v>1212242</v>
      </c>
      <c r="D57" s="451">
        <v>1088222</v>
      </c>
      <c r="E57" s="451">
        <v>108922</v>
      </c>
      <c r="F57" s="451">
        <v>1851</v>
      </c>
      <c r="G57" s="452">
        <v>13247</v>
      </c>
      <c r="H57" s="49"/>
      <c r="I57" s="49"/>
      <c r="J57" s="49"/>
      <c r="K57" s="49"/>
      <c r="L57" s="49"/>
    </row>
    <row r="58" spans="2:12" ht="15" customHeight="1" thickBot="1">
      <c r="B58" s="21"/>
      <c r="C58" s="73"/>
      <c r="D58" s="18" t="s">
        <v>45</v>
      </c>
      <c r="E58" s="17"/>
      <c r="F58" s="10"/>
      <c r="G58" s="74"/>
      <c r="H58" s="204"/>
      <c r="I58" s="204"/>
      <c r="J58" s="204"/>
      <c r="K58" s="204"/>
      <c r="L58" s="204"/>
    </row>
    <row r="59" spans="2:8" ht="24.75" customHeight="1" thickBot="1">
      <c r="B59" s="483" t="s">
        <v>75</v>
      </c>
      <c r="C59" s="484"/>
      <c r="D59" s="484"/>
      <c r="E59" s="484"/>
      <c r="F59" s="484"/>
      <c r="G59" s="485"/>
      <c r="H59" s="17"/>
    </row>
    <row r="60" spans="2:9" ht="15" customHeight="1">
      <c r="B60" s="281" t="s">
        <v>76</v>
      </c>
      <c r="C60" s="84">
        <f>RATE(10,,-C6,C16)*100</f>
        <v>5.50518345516507</v>
      </c>
      <c r="D60" s="85">
        <f>RATE(10,,-D6,D16)*100</f>
        <v>5.7667844485376145</v>
      </c>
      <c r="E60" s="85">
        <f>RATE(10,,-E6,E16)*100</f>
        <v>3.1293559635660433</v>
      </c>
      <c r="F60" s="85">
        <f>RATE(10,,-F6,F16)*100</f>
        <v>0.14144504862964913</v>
      </c>
      <c r="G60" s="86">
        <f>RATE(10,,-G6,G16)*100</f>
        <v>9.364912515473051</v>
      </c>
      <c r="H60" s="17"/>
      <c r="I60" s="208"/>
    </row>
    <row r="61" spans="2:8" ht="15" customHeight="1">
      <c r="B61" s="282" t="s">
        <v>77</v>
      </c>
      <c r="C61" s="87">
        <f>RATE(10,,-C16,C26)*100</f>
        <v>3.4891540528617018</v>
      </c>
      <c r="D61" s="35">
        <f>RATE(10,,-D16,D26)*100</f>
        <v>3.4759111609201683</v>
      </c>
      <c r="E61" s="35">
        <f>RATE(10,,-E16,E26)*100</f>
        <v>3.573942831231484</v>
      </c>
      <c r="F61" s="35">
        <f>RATE(10,,-F16,F26)*100</f>
        <v>0.8226681074081396</v>
      </c>
      <c r="G61" s="36">
        <f>RATE(10,,-G16,G26)*100</f>
        <v>4.162471401088187</v>
      </c>
      <c r="H61" s="17"/>
    </row>
    <row r="62" spans="2:8" ht="15" customHeight="1">
      <c r="B62" s="282" t="s">
        <v>78</v>
      </c>
      <c r="C62" s="87">
        <f>RATE(10,,-C26,C36)*100</f>
        <v>4.945602124949665</v>
      </c>
      <c r="D62" s="87">
        <f>RATE(10,,-D26,D36)*100</f>
        <v>4.846363768595046</v>
      </c>
      <c r="E62" s="87">
        <f>RATE(10,,-E26,E36)*100</f>
        <v>6.304991848248428</v>
      </c>
      <c r="F62" s="87">
        <f>RATE(10,,-F26,F36)*100</f>
        <v>4.8699795101948995</v>
      </c>
      <c r="G62" s="36">
        <f>RATE(10,,-G26,G36)*100</f>
        <v>1.875083652462282</v>
      </c>
      <c r="H62" s="19"/>
    </row>
    <row r="63" spans="2:8" ht="15" customHeight="1">
      <c r="B63" s="326" t="s">
        <v>145</v>
      </c>
      <c r="C63" s="333">
        <f>RATE(10,,-C36,C46)*100</f>
        <v>4.6604671161273705</v>
      </c>
      <c r="D63" s="334">
        <f>RATE(10,,-D36,D46)*100</f>
        <v>4.892666588556493</v>
      </c>
      <c r="E63" s="334">
        <f>RATE(10,,-E36,E46)*100</f>
        <v>2.9665235313176415</v>
      </c>
      <c r="F63" s="334">
        <f>RATE(10,,-F36,F46)*100</f>
        <v>0.7573198748226503</v>
      </c>
      <c r="G63" s="332">
        <f>RATE(10,,-G36,G46)*100</f>
        <v>2.9410818438109314</v>
      </c>
      <c r="H63" s="19"/>
    </row>
    <row r="64" spans="2:8" ht="15" customHeight="1" thickBot="1">
      <c r="B64" s="283" t="s">
        <v>190</v>
      </c>
      <c r="C64" s="453">
        <f>RATE(11,,-C46,C57)*100</f>
        <v>3.5611130798784236</v>
      </c>
      <c r="D64" s="213">
        <f>RATE(11,,-D46,D57)*100</f>
        <v>3.611320624400978</v>
      </c>
      <c r="E64" s="213">
        <f>RATE(11,,-E46,E57)*100</f>
        <v>3.228338669655389</v>
      </c>
      <c r="F64" s="213">
        <f>RATE(11,,-F46,F57)*100</f>
        <v>1.276182350982786</v>
      </c>
      <c r="G64" s="37">
        <f>RATE(11,,-G46,G57)*100</f>
        <v>2.6537832031342474</v>
      </c>
      <c r="H64" s="17"/>
    </row>
    <row r="65" spans="2:8" ht="15" customHeight="1" thickBot="1">
      <c r="B65" s="21"/>
      <c r="C65" s="17"/>
      <c r="D65" s="17"/>
      <c r="E65" s="17"/>
      <c r="F65" s="17"/>
      <c r="G65" s="17"/>
      <c r="H65" s="17"/>
    </row>
    <row r="66" spans="2:8" ht="24.75" customHeight="1" thickBot="1">
      <c r="B66" s="483" t="s">
        <v>109</v>
      </c>
      <c r="C66" s="484"/>
      <c r="D66" s="484"/>
      <c r="E66" s="484"/>
      <c r="F66" s="484"/>
      <c r="G66" s="485"/>
      <c r="H66" s="17"/>
    </row>
    <row r="67" spans="2:8" ht="15" customHeight="1">
      <c r="B67" s="277" t="s">
        <v>48</v>
      </c>
      <c r="C67" s="88">
        <f aca="true" t="shared" si="2" ref="C67:C72">SUM(D67:G67)</f>
        <v>100</v>
      </c>
      <c r="D67" s="85">
        <f>D6/$C$6*100</f>
        <v>86.11871601107042</v>
      </c>
      <c r="E67" s="85">
        <f>E6/$C$6*100</f>
        <v>12.001402451305847</v>
      </c>
      <c r="F67" s="85">
        <f>F6/$C$6*100</f>
        <v>0.6288651334193702</v>
      </c>
      <c r="G67" s="86">
        <f>G6/$C$6*100</f>
        <v>1.2510164042043699</v>
      </c>
      <c r="H67" s="17"/>
    </row>
    <row r="68" spans="2:8" ht="15" customHeight="1">
      <c r="B68" s="244" t="s">
        <v>58</v>
      </c>
      <c r="C68" s="89">
        <f t="shared" si="2"/>
        <v>99.99999999999999</v>
      </c>
      <c r="D68" s="35">
        <f>D16/$C$16*100</f>
        <v>88.27802052459502</v>
      </c>
      <c r="E68" s="35">
        <f>E16/$C$16*100</f>
        <v>9.556900969483742</v>
      </c>
      <c r="F68" s="35">
        <f>F16/$C$16*100</f>
        <v>0.37321413761343747</v>
      </c>
      <c r="G68" s="36">
        <f>G16/$C$16*100</f>
        <v>1.7918643683077904</v>
      </c>
      <c r="H68" s="17"/>
    </row>
    <row r="69" spans="2:8" ht="15" customHeight="1">
      <c r="B69" s="244" t="s">
        <v>74</v>
      </c>
      <c r="C69" s="89">
        <f t="shared" si="2"/>
        <v>100</v>
      </c>
      <c r="D69" s="35">
        <f>D26/$C$26*100</f>
        <v>88.16512141553883</v>
      </c>
      <c r="E69" s="35">
        <f>E26/$C$26*100</f>
        <v>9.635490076421007</v>
      </c>
      <c r="F69" s="35">
        <f>F26/$C$26*100</f>
        <v>0.28746937119172783</v>
      </c>
      <c r="G69" s="36">
        <f>G26/$C$26*100</f>
        <v>1.9119191368484314</v>
      </c>
      <c r="H69" s="17"/>
    </row>
    <row r="70" spans="2:8" ht="15" customHeight="1">
      <c r="B70" s="284">
        <v>2000</v>
      </c>
      <c r="C70" s="89">
        <f t="shared" si="2"/>
        <v>99.99999999999999</v>
      </c>
      <c r="D70" s="35">
        <f>D36/$C$36*100</f>
        <v>87.33495566001487</v>
      </c>
      <c r="E70" s="35">
        <f>E36/$C$36*100</f>
        <v>10.958925058830053</v>
      </c>
      <c r="F70" s="35">
        <f>F36/$C$36*100</f>
        <v>0.28540460355905084</v>
      </c>
      <c r="G70" s="36">
        <f>G36/$C$36*100</f>
        <v>1.4207146775960253</v>
      </c>
      <c r="H70" s="17"/>
    </row>
    <row r="71" spans="2:8" ht="15" customHeight="1">
      <c r="B71" s="282">
        <v>2010</v>
      </c>
      <c r="C71" s="89">
        <f t="shared" si="2"/>
        <v>100</v>
      </c>
      <c r="D71" s="35">
        <f>D46/$C$46*100</f>
        <v>89.2920263871817</v>
      </c>
      <c r="E71" s="35">
        <f>E46/$C$46*100</f>
        <v>9.30897295095679</v>
      </c>
      <c r="F71" s="35">
        <f>F46/$C$46*100</f>
        <v>0.19516428954137605</v>
      </c>
      <c r="G71" s="36">
        <f>G46/$C$46*100</f>
        <v>1.2038363723201277</v>
      </c>
      <c r="H71" s="17"/>
    </row>
    <row r="72" spans="2:8" ht="15" customHeight="1" thickBot="1">
      <c r="B72" s="335">
        <v>2021</v>
      </c>
      <c r="C72" s="336">
        <f t="shared" si="2"/>
        <v>100.00000000000001</v>
      </c>
      <c r="D72" s="337">
        <f>+D57/$C$57*100</f>
        <v>89.76936948233109</v>
      </c>
      <c r="E72" s="337">
        <f>+E57/$C$57*100</f>
        <v>8.985169627846586</v>
      </c>
      <c r="F72" s="213">
        <f>+F57/$C$57*100</f>
        <v>0.1526922842138781</v>
      </c>
      <c r="G72" s="37">
        <f>+G57/$C$57*100</f>
        <v>1.0927686056084511</v>
      </c>
      <c r="H72" s="17"/>
    </row>
    <row r="73" spans="2:8" ht="15" customHeight="1">
      <c r="B73" s="33"/>
      <c r="C73" s="75"/>
      <c r="D73" s="75"/>
      <c r="E73" s="75"/>
      <c r="F73" s="75"/>
      <c r="G73" s="75"/>
      <c r="H73" s="17"/>
    </row>
    <row r="74" spans="2:8" ht="15" customHeight="1">
      <c r="B74" s="481" t="s">
        <v>137</v>
      </c>
      <c r="C74" s="481"/>
      <c r="D74" s="481"/>
      <c r="E74" s="481"/>
      <c r="F74" s="481"/>
      <c r="G74" s="481"/>
      <c r="H74" s="17"/>
    </row>
    <row r="75" spans="3:8" ht="15" customHeight="1">
      <c r="C75" s="17"/>
      <c r="D75" s="17"/>
      <c r="E75" s="17"/>
      <c r="F75" s="17"/>
      <c r="G75" s="17"/>
      <c r="H75" s="17"/>
    </row>
    <row r="76" spans="2:8" ht="15" customHeight="1">
      <c r="B76" s="7"/>
      <c r="C76" s="19"/>
      <c r="D76" s="19"/>
      <c r="E76" s="19"/>
      <c r="F76" s="19"/>
      <c r="G76" s="19"/>
      <c r="H76" s="17"/>
    </row>
    <row r="77" spans="2:8" ht="15" customHeight="1">
      <c r="B77" s="7"/>
      <c r="C77" s="19"/>
      <c r="D77" s="19"/>
      <c r="E77" s="19"/>
      <c r="F77" s="19"/>
      <c r="G77" s="19"/>
      <c r="H77" s="17"/>
    </row>
    <row r="78" spans="3:7" ht="15" customHeight="1">
      <c r="C78" s="20"/>
      <c r="D78" s="20"/>
      <c r="E78" s="20"/>
      <c r="F78" s="20"/>
      <c r="G78" s="20"/>
    </row>
    <row r="79" spans="3:7" ht="15" customHeight="1">
      <c r="C79" s="20"/>
      <c r="D79" s="20"/>
      <c r="E79" s="20"/>
      <c r="F79" s="20"/>
      <c r="G79" s="20"/>
    </row>
    <row r="80" spans="3:7" ht="15" customHeight="1">
      <c r="C80" s="20"/>
      <c r="D80" s="20"/>
      <c r="E80" s="20"/>
      <c r="F80" s="20"/>
      <c r="G80" s="20"/>
    </row>
    <row r="81" spans="3:7" ht="15" customHeight="1">
      <c r="C81" s="20"/>
      <c r="D81" s="20"/>
      <c r="E81" s="20"/>
      <c r="F81" s="20"/>
      <c r="G81" s="20"/>
    </row>
    <row r="84" spans="3:7" ht="15" customHeight="1">
      <c r="C84" s="20"/>
      <c r="D84" s="20"/>
      <c r="E84" s="20"/>
      <c r="F84" s="20"/>
      <c r="G84" s="20"/>
    </row>
    <row r="85" spans="3:7" ht="15" customHeight="1">
      <c r="C85" s="20"/>
      <c r="D85" s="20"/>
      <c r="E85" s="20"/>
      <c r="F85" s="20"/>
      <c r="G85" s="20"/>
    </row>
    <row r="86" spans="3:7" ht="15" customHeight="1">
      <c r="C86" s="20"/>
      <c r="D86" s="20"/>
      <c r="E86" s="20"/>
      <c r="F86" s="20"/>
      <c r="G86" s="20"/>
    </row>
    <row r="87" spans="3:7" ht="15" customHeight="1">
      <c r="C87" s="20"/>
      <c r="D87" s="20"/>
      <c r="E87" s="20"/>
      <c r="F87" s="20"/>
      <c r="G87" s="20"/>
    </row>
    <row r="88" spans="3:7" ht="15" customHeight="1">
      <c r="C88" s="20"/>
      <c r="D88" s="20"/>
      <c r="E88" s="20"/>
      <c r="F88" s="20"/>
      <c r="G88" s="20"/>
    </row>
  </sheetData>
  <sheetProtection/>
  <mergeCells count="6">
    <mergeCell ref="B66:G66"/>
    <mergeCell ref="B74:G74"/>
    <mergeCell ref="B1:G1"/>
    <mergeCell ref="B2:G2"/>
    <mergeCell ref="B3:G3"/>
    <mergeCell ref="B59:G59"/>
  </mergeCells>
  <printOptions horizontalCentered="1"/>
  <pageMargins left="0.7874015748031497" right="0.3937007874015748" top="0.3937007874015748" bottom="0.7874015748031497" header="0" footer="0"/>
  <pageSetup fitToHeight="1" fitToWidth="1" horizontalDpi="300" verticalDpi="3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Economia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Comisión de Política Energética</dc:creator>
  <cp:keywords/>
  <dc:description/>
  <cp:lastModifiedBy>Usuario de Windows</cp:lastModifiedBy>
  <cp:lastPrinted>2020-01-24T15:59:43Z</cp:lastPrinted>
  <dcterms:created xsi:type="dcterms:W3CDTF">2001-07-10T17:11:59Z</dcterms:created>
  <dcterms:modified xsi:type="dcterms:W3CDTF">2022-12-29T17:21:11Z</dcterms:modified>
  <cp:category/>
  <cp:version/>
  <cp:contentType/>
  <cp:contentStatus/>
</cp:coreProperties>
</file>