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car G\Desktop\Compendio Estadístico 2021\"/>
    </mc:Choice>
  </mc:AlternateContent>
  <bookViews>
    <workbookView xWindow="6300" yWindow="-432" windowWidth="15480" windowHeight="14760" tabRatio="599"/>
  </bookViews>
  <sheets>
    <sheet name="G-MM-1 PreProEneMerOca,99-21" sheetId="147" r:id="rId1"/>
    <sheet name="G-MM-2 PreMonCon&amp;MerOca,98-10" sheetId="148" r:id="rId2"/>
    <sheet name="G-MM-3 IntEneCenAme,99-21" sheetId="149" r:id="rId3"/>
    <sheet name="G-MM-4 TDisAjuTSemVsTIrhe,98-10" sheetId="150" r:id="rId4"/>
    <sheet name="C-MM-1 EnerGene y Cons, 21" sheetId="151" r:id="rId5"/>
    <sheet name="C-MM-2 IntercEner,99-21" sheetId="85" r:id="rId6"/>
    <sheet name="C-MM-3 VenMenEnerElecSis,80-21" sheetId="37" r:id="rId7"/>
    <sheet name="C-MM-4 DemMaxMenSis,80-21" sheetId="40" r:id="rId8"/>
    <sheet name="C-MM-5 DemMaxMenXEmpDist,99-21" sheetId="91" r:id="rId9"/>
    <sheet name="C-MM-6 PreMerSpot,99-21" sheetId="92" r:id="rId10"/>
  </sheets>
  <calcPr calcId="152511"/>
</workbook>
</file>

<file path=xl/calcChain.xml><?xml version="1.0" encoding="utf-8"?>
<calcChain xmlns="http://schemas.openxmlformats.org/spreadsheetml/2006/main">
  <c r="BN20" i="149" l="1"/>
  <c r="BM20" i="149"/>
  <c r="Z33" i="91"/>
  <c r="Z32" i="91"/>
  <c r="Z31" i="91"/>
  <c r="Z30" i="91"/>
  <c r="Z29" i="91"/>
  <c r="Z28" i="91"/>
  <c r="Z27" i="91"/>
  <c r="Z26" i="91"/>
  <c r="Z25" i="91"/>
  <c r="Z24" i="91"/>
  <c r="Z23" i="91"/>
  <c r="Z22" i="91"/>
  <c r="Z8" i="91"/>
  <c r="Z9" i="91"/>
  <c r="Z10" i="91"/>
  <c r="Z11" i="91"/>
  <c r="Z12" i="91"/>
  <c r="Z13" i="91"/>
  <c r="Z14" i="91"/>
  <c r="Z15" i="91"/>
  <c r="Z16" i="91"/>
  <c r="Z17" i="91"/>
  <c r="Z18" i="91"/>
  <c r="Z7" i="91"/>
  <c r="AX9" i="91"/>
  <c r="AX10" i="91"/>
  <c r="AX11" i="91"/>
  <c r="AX12" i="91"/>
  <c r="AX13" i="91"/>
  <c r="AX14" i="91"/>
  <c r="AX15" i="91"/>
  <c r="AX16" i="91"/>
  <c r="AX17" i="91"/>
  <c r="AX18" i="91"/>
  <c r="AX8" i="91"/>
  <c r="AX7" i="91"/>
  <c r="D53" i="37"/>
  <c r="E53" i="37"/>
  <c r="F53" i="37"/>
  <c r="G53" i="37"/>
  <c r="H53" i="37"/>
  <c r="I53" i="37"/>
  <c r="J53" i="37"/>
  <c r="K53" i="37"/>
  <c r="L53" i="37"/>
  <c r="M53" i="37"/>
  <c r="N53" i="37"/>
  <c r="O53" i="37"/>
  <c r="C53" i="37"/>
  <c r="C46" i="37"/>
  <c r="D54" i="40"/>
  <c r="E54" i="40"/>
  <c r="F54" i="40"/>
  <c r="G54" i="40"/>
  <c r="H54" i="40"/>
  <c r="I54" i="40"/>
  <c r="J54" i="40"/>
  <c r="K54" i="40"/>
  <c r="L54" i="40"/>
  <c r="M54" i="40"/>
  <c r="N54" i="40"/>
  <c r="O54" i="40"/>
  <c r="C54" i="40"/>
  <c r="C46" i="40"/>
  <c r="G19" i="85"/>
  <c r="F19" i="85"/>
  <c r="H18" i="85"/>
  <c r="H17" i="85"/>
  <c r="H16" i="85"/>
  <c r="H15" i="85"/>
  <c r="H14" i="85"/>
  <c r="H13" i="85"/>
  <c r="H12" i="85"/>
  <c r="H11" i="85"/>
  <c r="H10" i="85"/>
  <c r="H9" i="85"/>
  <c r="H8" i="85"/>
  <c r="H7" i="85"/>
  <c r="H19" i="85" l="1"/>
  <c r="BL20" i="149"/>
  <c r="BK20" i="149"/>
  <c r="C45" i="37" l="1"/>
  <c r="C45" i="40"/>
  <c r="E7" i="85"/>
  <c r="D19" i="85"/>
  <c r="J35" i="85"/>
  <c r="I35" i="85"/>
  <c r="G35" i="85"/>
  <c r="F35" i="85"/>
  <c r="D35" i="85"/>
  <c r="C35" i="85"/>
  <c r="K34" i="85"/>
  <c r="H34" i="85"/>
  <c r="E34" i="85"/>
  <c r="K33" i="85"/>
  <c r="H33" i="85"/>
  <c r="E33" i="85"/>
  <c r="K32" i="85"/>
  <c r="H32" i="85"/>
  <c r="E32" i="85"/>
  <c r="K31" i="85"/>
  <c r="H31" i="85"/>
  <c r="E31" i="85"/>
  <c r="K30" i="85"/>
  <c r="H30" i="85"/>
  <c r="E30" i="85"/>
  <c r="K29" i="85"/>
  <c r="H29" i="85"/>
  <c r="E29" i="85"/>
  <c r="K28" i="85"/>
  <c r="H28" i="85"/>
  <c r="E28" i="85"/>
  <c r="K27" i="85"/>
  <c r="H27" i="85"/>
  <c r="E27" i="85"/>
  <c r="K26" i="85"/>
  <c r="H26" i="85"/>
  <c r="E26" i="85"/>
  <c r="K25" i="85"/>
  <c r="H25" i="85"/>
  <c r="H35" i="85" s="1"/>
  <c r="E25" i="85"/>
  <c r="K24" i="85"/>
  <c r="H24" i="85"/>
  <c r="E24" i="85"/>
  <c r="E35" i="85" s="1"/>
  <c r="K23" i="85"/>
  <c r="K35" i="85" s="1"/>
  <c r="J51" i="85"/>
  <c r="I51" i="85"/>
  <c r="G51" i="85"/>
  <c r="F51" i="85"/>
  <c r="D51" i="85"/>
  <c r="C51" i="85"/>
  <c r="K50" i="85"/>
  <c r="H50" i="85"/>
  <c r="E50" i="85"/>
  <c r="K49" i="85"/>
  <c r="H49" i="85"/>
  <c r="E49" i="85"/>
  <c r="K48" i="85"/>
  <c r="H48" i="85"/>
  <c r="E48" i="85"/>
  <c r="K47" i="85"/>
  <c r="H47" i="85"/>
  <c r="E47" i="85"/>
  <c r="K46" i="85"/>
  <c r="H46" i="85"/>
  <c r="E46" i="85"/>
  <c r="K45" i="85"/>
  <c r="H45" i="85"/>
  <c r="E45" i="85"/>
  <c r="K44" i="85"/>
  <c r="H44" i="85"/>
  <c r="E44" i="85"/>
  <c r="K43" i="85"/>
  <c r="H43" i="85"/>
  <c r="E43" i="85"/>
  <c r="K42" i="85"/>
  <c r="H42" i="85"/>
  <c r="E42" i="85"/>
  <c r="K41" i="85"/>
  <c r="H41" i="85"/>
  <c r="E41" i="85"/>
  <c r="K40" i="85"/>
  <c r="H40" i="85"/>
  <c r="E40" i="85"/>
  <c r="K39" i="85"/>
  <c r="K51" i="85" s="1"/>
  <c r="H39" i="85"/>
  <c r="H51" i="85" s="1"/>
  <c r="E39" i="85"/>
  <c r="E51" i="85" s="1"/>
  <c r="J67" i="85"/>
  <c r="I67" i="85"/>
  <c r="G67" i="85"/>
  <c r="F67" i="85"/>
  <c r="D67" i="85"/>
  <c r="C67" i="85"/>
  <c r="K66" i="85"/>
  <c r="H66" i="85"/>
  <c r="E66" i="85"/>
  <c r="K65" i="85"/>
  <c r="H65" i="85"/>
  <c r="E65" i="85"/>
  <c r="K64" i="85"/>
  <c r="H64" i="85"/>
  <c r="E64" i="85"/>
  <c r="K63" i="85"/>
  <c r="H63" i="85"/>
  <c r="E63" i="85"/>
  <c r="K62" i="85"/>
  <c r="H62" i="85"/>
  <c r="E62" i="85"/>
  <c r="K61" i="85"/>
  <c r="H61" i="85"/>
  <c r="E61" i="85"/>
  <c r="K60" i="85"/>
  <c r="H60" i="85"/>
  <c r="E60" i="85"/>
  <c r="K59" i="85"/>
  <c r="H59" i="85"/>
  <c r="E59" i="85"/>
  <c r="K58" i="85"/>
  <c r="H58" i="85"/>
  <c r="E58" i="85"/>
  <c r="K57" i="85"/>
  <c r="H57" i="85"/>
  <c r="E57" i="85"/>
  <c r="K56" i="85"/>
  <c r="H56" i="85"/>
  <c r="E56" i="85"/>
  <c r="K55" i="85"/>
  <c r="K67" i="85" s="1"/>
  <c r="H55" i="85"/>
  <c r="H67" i="85" s="1"/>
  <c r="E55" i="85"/>
  <c r="E67" i="85" s="1"/>
  <c r="U35" i="85"/>
  <c r="T35" i="85"/>
  <c r="V35" i="85" s="1"/>
  <c r="R35" i="85"/>
  <c r="Q35" i="85"/>
  <c r="S35" i="85" s="1"/>
  <c r="O35" i="85"/>
  <c r="N35" i="85"/>
  <c r="P35" i="85" s="1"/>
  <c r="V34" i="85"/>
  <c r="S34" i="85"/>
  <c r="P34" i="85"/>
  <c r="V33" i="85"/>
  <c r="S33" i="85"/>
  <c r="P33" i="85"/>
  <c r="V32" i="85"/>
  <c r="S32" i="85"/>
  <c r="P32" i="85"/>
  <c r="V31" i="85"/>
  <c r="S31" i="85"/>
  <c r="P31" i="85"/>
  <c r="V30" i="85"/>
  <c r="S30" i="85"/>
  <c r="P30" i="85"/>
  <c r="V29" i="85"/>
  <c r="S29" i="85"/>
  <c r="P29" i="85"/>
  <c r="V28" i="85"/>
  <c r="S28" i="85"/>
  <c r="P28" i="85"/>
  <c r="V27" i="85"/>
  <c r="S27" i="85"/>
  <c r="P27" i="85"/>
  <c r="V26" i="85"/>
  <c r="S26" i="85"/>
  <c r="P26" i="85"/>
  <c r="V25" i="85"/>
  <c r="S25" i="85"/>
  <c r="P25" i="85"/>
  <c r="V24" i="85"/>
  <c r="S24" i="85"/>
  <c r="P24" i="85"/>
  <c r="V23" i="85"/>
  <c r="S23" i="85"/>
  <c r="P23" i="85"/>
  <c r="U51" i="85"/>
  <c r="T51" i="85"/>
  <c r="V51" i="85" s="1"/>
  <c r="R51" i="85"/>
  <c r="Q51" i="85"/>
  <c r="S51" i="85" s="1"/>
  <c r="O51" i="85"/>
  <c r="N51" i="85"/>
  <c r="P51" i="85" s="1"/>
  <c r="V50" i="85"/>
  <c r="S50" i="85"/>
  <c r="P50" i="85"/>
  <c r="V49" i="85"/>
  <c r="S49" i="85"/>
  <c r="P49" i="85"/>
  <c r="V48" i="85"/>
  <c r="S48" i="85"/>
  <c r="P48" i="85"/>
  <c r="V47" i="85"/>
  <c r="S47" i="85"/>
  <c r="P47" i="85"/>
  <c r="V46" i="85"/>
  <c r="S46" i="85"/>
  <c r="P46" i="85"/>
  <c r="V45" i="85"/>
  <c r="S45" i="85"/>
  <c r="P45" i="85"/>
  <c r="V44" i="85"/>
  <c r="S44" i="85"/>
  <c r="P44" i="85"/>
  <c r="V43" i="85"/>
  <c r="S43" i="85"/>
  <c r="P43" i="85"/>
  <c r="V42" i="85"/>
  <c r="S42" i="85"/>
  <c r="P42" i="85"/>
  <c r="V41" i="85"/>
  <c r="S41" i="85"/>
  <c r="P41" i="85"/>
  <c r="V40" i="85"/>
  <c r="S40" i="85"/>
  <c r="P40" i="85"/>
  <c r="V39" i="85"/>
  <c r="S39" i="85"/>
  <c r="P39" i="85"/>
  <c r="P55" i="85"/>
  <c r="S55" i="85"/>
  <c r="V55" i="85"/>
  <c r="P56" i="85"/>
  <c r="S56" i="85"/>
  <c r="V56" i="85"/>
  <c r="P57" i="85"/>
  <c r="S57" i="85"/>
  <c r="V57" i="85"/>
  <c r="P58" i="85"/>
  <c r="S58" i="85"/>
  <c r="V58" i="85"/>
  <c r="P59" i="85"/>
  <c r="S59" i="85"/>
  <c r="V59" i="85"/>
  <c r="P60" i="85"/>
  <c r="S60" i="85"/>
  <c r="V60" i="85"/>
  <c r="P61" i="85"/>
  <c r="S61" i="85"/>
  <c r="V61" i="85"/>
  <c r="P62" i="85"/>
  <c r="S62" i="85"/>
  <c r="V62" i="85"/>
  <c r="P63" i="85"/>
  <c r="S63" i="85"/>
  <c r="V63" i="85"/>
  <c r="P64" i="85"/>
  <c r="S64" i="85"/>
  <c r="V64" i="85"/>
  <c r="P65" i="85"/>
  <c r="S65" i="85"/>
  <c r="V65" i="85"/>
  <c r="P66" i="85"/>
  <c r="S66" i="85"/>
  <c r="V66" i="85"/>
  <c r="N67" i="85"/>
  <c r="O67" i="85"/>
  <c r="P67" i="85"/>
  <c r="Q67" i="85"/>
  <c r="R67" i="85"/>
  <c r="S67" i="85" s="1"/>
  <c r="T67" i="85"/>
  <c r="V67" i="85" s="1"/>
  <c r="U67" i="85"/>
  <c r="BJ20" i="149" l="1"/>
  <c r="BI20" i="149"/>
  <c r="O22" i="151" l="1"/>
  <c r="N22" i="151"/>
  <c r="M22" i="151"/>
  <c r="L22" i="151"/>
  <c r="K22" i="151"/>
  <c r="H22" i="151"/>
  <c r="G22" i="151"/>
  <c r="F22" i="151"/>
  <c r="E22" i="151"/>
  <c r="D22" i="151"/>
  <c r="C22" i="151"/>
  <c r="C47" i="40" l="1"/>
  <c r="C44" i="40" l="1"/>
  <c r="C44" i="37"/>
  <c r="C43" i="37" l="1"/>
  <c r="BH20" i="149" l="1"/>
  <c r="BG20" i="149"/>
  <c r="E59" i="40"/>
  <c r="F59" i="40"/>
  <c r="G59" i="40"/>
  <c r="H59" i="40"/>
  <c r="I59" i="40"/>
  <c r="J59" i="40"/>
  <c r="K59" i="40"/>
  <c r="L59" i="40"/>
  <c r="M59" i="40"/>
  <c r="N59" i="40"/>
  <c r="O59" i="40"/>
  <c r="D59" i="40"/>
  <c r="C43" i="40"/>
  <c r="BF20" i="149" l="1"/>
  <c r="BE20" i="149"/>
  <c r="D50" i="40"/>
  <c r="E50" i="40"/>
  <c r="F50" i="40"/>
  <c r="G50" i="40"/>
  <c r="H50" i="40"/>
  <c r="I50" i="40"/>
  <c r="J50" i="40"/>
  <c r="K50" i="40"/>
  <c r="L50" i="40"/>
  <c r="M50" i="40"/>
  <c r="N50" i="40"/>
  <c r="O50" i="40"/>
  <c r="D51" i="40"/>
  <c r="E51" i="40"/>
  <c r="F51" i="40"/>
  <c r="G51" i="40"/>
  <c r="H51" i="40"/>
  <c r="I51" i="40"/>
  <c r="J51" i="40"/>
  <c r="K51" i="40"/>
  <c r="L51" i="40"/>
  <c r="M51" i="40"/>
  <c r="N51" i="40"/>
  <c r="O51" i="40"/>
  <c r="D52" i="40"/>
  <c r="E52" i="40"/>
  <c r="F52" i="40"/>
  <c r="G52" i="40"/>
  <c r="H52" i="40"/>
  <c r="I52" i="40"/>
  <c r="J52" i="40"/>
  <c r="K52" i="40"/>
  <c r="L52" i="40"/>
  <c r="M52" i="40"/>
  <c r="N52" i="40"/>
  <c r="O52" i="40"/>
  <c r="D53" i="40"/>
  <c r="E53" i="40"/>
  <c r="F53" i="40"/>
  <c r="G53" i="40"/>
  <c r="H53" i="40"/>
  <c r="I53" i="40"/>
  <c r="J53" i="40"/>
  <c r="K53" i="40"/>
  <c r="L53" i="40"/>
  <c r="M53" i="40"/>
  <c r="N53" i="40"/>
  <c r="O53" i="40"/>
  <c r="D57" i="40"/>
  <c r="E57" i="40"/>
  <c r="F57" i="40"/>
  <c r="G57" i="40"/>
  <c r="H57" i="40"/>
  <c r="I57" i="40"/>
  <c r="J57" i="40"/>
  <c r="K57" i="40"/>
  <c r="L57" i="40"/>
  <c r="M57" i="40"/>
  <c r="N57" i="40"/>
  <c r="O57" i="40"/>
  <c r="D58" i="40"/>
  <c r="E58" i="40"/>
  <c r="F58" i="40"/>
  <c r="G58" i="40"/>
  <c r="H58" i="40"/>
  <c r="I58" i="40"/>
  <c r="J58" i="40"/>
  <c r="K58" i="40"/>
  <c r="L58" i="40"/>
  <c r="M58" i="40"/>
  <c r="N58" i="40"/>
  <c r="O58" i="40"/>
  <c r="C42" i="37"/>
  <c r="C19" i="85"/>
  <c r="E18" i="85"/>
  <c r="E17" i="85"/>
  <c r="E16" i="85"/>
  <c r="E15" i="85"/>
  <c r="E14" i="85"/>
  <c r="E13" i="85"/>
  <c r="E12" i="85"/>
  <c r="E11" i="85"/>
  <c r="E10" i="85"/>
  <c r="E9" i="85"/>
  <c r="E8" i="85"/>
  <c r="E19" i="85" l="1"/>
  <c r="BC20" i="149" l="1"/>
  <c r="BD20" i="149"/>
  <c r="C41" i="40" l="1"/>
  <c r="C41" i="37"/>
  <c r="BB20" i="149"/>
  <c r="BA20" i="149"/>
  <c r="C40" i="40"/>
  <c r="C40" i="37"/>
  <c r="AZ20" i="149"/>
  <c r="AY20" i="149"/>
  <c r="C42" i="40"/>
  <c r="C39" i="40"/>
  <c r="C47" i="37"/>
  <c r="C39" i="37"/>
  <c r="AX20" i="149"/>
  <c r="AW20" i="149"/>
  <c r="C38" i="40"/>
  <c r="C38" i="37"/>
  <c r="AV20" i="149"/>
  <c r="AU20" i="149"/>
  <c r="C37" i="37"/>
  <c r="C37" i="40"/>
  <c r="AT20" i="149"/>
  <c r="AS20" i="149"/>
  <c r="C36" i="40"/>
  <c r="C36" i="37"/>
  <c r="R31" i="150"/>
  <c r="T31" i="150" s="1"/>
  <c r="AT18" i="150"/>
  <c r="AS18" i="150"/>
  <c r="U31" i="150"/>
  <c r="W31" i="150" s="1"/>
  <c r="AZ18" i="150"/>
  <c r="AY18" i="150"/>
  <c r="O31" i="150"/>
  <c r="Q31" i="150" s="1"/>
  <c r="AN18" i="150"/>
  <c r="AM18" i="150"/>
  <c r="AD18" i="150"/>
  <c r="AC18" i="150"/>
  <c r="L31" i="150" s="1"/>
  <c r="N31" i="150" s="1"/>
  <c r="AA18" i="150"/>
  <c r="AG18" i="150" s="1"/>
  <c r="Z18" i="150"/>
  <c r="L30" i="150" s="1"/>
  <c r="O30" i="150"/>
  <c r="U30" i="150"/>
  <c r="R30" i="150"/>
  <c r="Q30" i="150"/>
  <c r="AR11" i="149"/>
  <c r="AR12" i="149"/>
  <c r="AR14" i="149"/>
  <c r="AR15" i="149"/>
  <c r="AR16" i="149"/>
  <c r="AR18" i="149"/>
  <c r="AR19" i="149"/>
  <c r="AQ20" i="149"/>
  <c r="C35" i="37"/>
  <c r="C35" i="40"/>
  <c r="AR17" i="150"/>
  <c r="AQ17" i="150"/>
  <c r="AP17" i="150"/>
  <c r="AO17" i="150"/>
  <c r="AX17" i="150"/>
  <c r="AW17" i="150"/>
  <c r="AV17" i="150"/>
  <c r="AU17" i="150"/>
  <c r="AL17" i="150"/>
  <c r="AK17" i="150"/>
  <c r="O29" i="150" s="1"/>
  <c r="AJ17" i="150"/>
  <c r="AI17" i="150"/>
  <c r="AM17" i="150" s="1"/>
  <c r="AR16" i="150"/>
  <c r="AQ16" i="150"/>
  <c r="R27" i="150" s="1"/>
  <c r="AP16" i="150"/>
  <c r="AO16" i="150"/>
  <c r="AX16" i="150"/>
  <c r="AW16" i="150"/>
  <c r="U27" i="150" s="1"/>
  <c r="W27" i="150" s="1"/>
  <c r="AV16" i="150"/>
  <c r="AZ16" i="150" s="1"/>
  <c r="AU16" i="150"/>
  <c r="AL16" i="150"/>
  <c r="AK16" i="150"/>
  <c r="AJ16" i="150"/>
  <c r="AI16" i="150"/>
  <c r="AM16" i="150" s="1"/>
  <c r="AR15" i="150"/>
  <c r="AQ15" i="150"/>
  <c r="AP15" i="150"/>
  <c r="R24" i="150" s="1"/>
  <c r="T24" i="150" s="1"/>
  <c r="AO15" i="150"/>
  <c r="AX15" i="150"/>
  <c r="AW15" i="150"/>
  <c r="AV15" i="150"/>
  <c r="AU15" i="150"/>
  <c r="AL15" i="150"/>
  <c r="AD15" i="150" s="1"/>
  <c r="AK15" i="150"/>
  <c r="O25" i="150"/>
  <c r="AJ15" i="150"/>
  <c r="AI15" i="150"/>
  <c r="AR14" i="150"/>
  <c r="AQ14" i="150"/>
  <c r="R23" i="150" s="1"/>
  <c r="AP14" i="150"/>
  <c r="AO14" i="150"/>
  <c r="AX14" i="150"/>
  <c r="AW14" i="150"/>
  <c r="U23" i="150" s="1"/>
  <c r="W23" i="150" s="1"/>
  <c r="AV14" i="150"/>
  <c r="U22" i="150" s="1"/>
  <c r="AU14" i="150"/>
  <c r="AL14" i="150"/>
  <c r="AK14" i="150"/>
  <c r="AI14" i="150"/>
  <c r="AJ14" i="150"/>
  <c r="AR13" i="150"/>
  <c r="AQ13" i="150"/>
  <c r="AP13" i="150"/>
  <c r="AT13" i="150" s="1"/>
  <c r="AO13" i="150"/>
  <c r="AX13" i="150"/>
  <c r="AW13" i="150"/>
  <c r="U21" i="150"/>
  <c r="AV13" i="150"/>
  <c r="AU13" i="150"/>
  <c r="U20" i="150" s="1"/>
  <c r="AL13" i="150"/>
  <c r="AK13" i="150"/>
  <c r="AJ13" i="150"/>
  <c r="AI13" i="150"/>
  <c r="AR12" i="150"/>
  <c r="AQ12" i="150"/>
  <c r="R19" i="150" s="1"/>
  <c r="AP12" i="150"/>
  <c r="AO12" i="150"/>
  <c r="AS12" i="150" s="1"/>
  <c r="AX12" i="150"/>
  <c r="AW12" i="150"/>
  <c r="AV12" i="150"/>
  <c r="AU12" i="150"/>
  <c r="AL12" i="150"/>
  <c r="AK12" i="150"/>
  <c r="O19" i="150" s="1"/>
  <c r="Q19" i="150" s="1"/>
  <c r="AJ12" i="150"/>
  <c r="AI12" i="150"/>
  <c r="AR11" i="150"/>
  <c r="AQ11" i="150"/>
  <c r="AP11" i="150"/>
  <c r="AO11" i="150"/>
  <c r="AX11" i="150"/>
  <c r="AZ11" i="150" s="1"/>
  <c r="AW11" i="150"/>
  <c r="U17" i="150"/>
  <c r="W17" i="150" s="1"/>
  <c r="AV11" i="150"/>
  <c r="AU11" i="150"/>
  <c r="U16" i="150" s="1"/>
  <c r="AL11" i="150"/>
  <c r="AK11" i="150"/>
  <c r="O17" i="150" s="1"/>
  <c r="Q17" i="150" s="1"/>
  <c r="AJ11" i="150"/>
  <c r="AI11" i="150"/>
  <c r="AM11" i="150" s="1"/>
  <c r="AR10" i="150"/>
  <c r="AQ10" i="150"/>
  <c r="AP10" i="150"/>
  <c r="AO10" i="150"/>
  <c r="AX10" i="150"/>
  <c r="AW10" i="150"/>
  <c r="AC10" i="150" s="1"/>
  <c r="AV10" i="150"/>
  <c r="AZ10" i="150" s="1"/>
  <c r="AU10" i="150"/>
  <c r="U14" i="150" s="1"/>
  <c r="W14" i="150" s="1"/>
  <c r="AL10" i="150"/>
  <c r="AD10" i="150" s="1"/>
  <c r="L15" i="150" s="1"/>
  <c r="N15" i="150" s="1"/>
  <c r="AK10" i="150"/>
  <c r="AJ10" i="150"/>
  <c r="O14" i="150" s="1"/>
  <c r="Q14" i="150" s="1"/>
  <c r="AI10" i="150"/>
  <c r="AR9" i="150"/>
  <c r="AT9" i="150" s="1"/>
  <c r="AQ9" i="150"/>
  <c r="R13" i="150"/>
  <c r="T13" i="150" s="1"/>
  <c r="AP9" i="150"/>
  <c r="AO9" i="150"/>
  <c r="AX9" i="150"/>
  <c r="AW9" i="150"/>
  <c r="U13" i="150" s="1"/>
  <c r="W13" i="150" s="1"/>
  <c r="AV9" i="150"/>
  <c r="AU9" i="150"/>
  <c r="AY9" i="150" s="1"/>
  <c r="AL9" i="150"/>
  <c r="AK9" i="150"/>
  <c r="AJ9" i="150"/>
  <c r="AI9" i="150"/>
  <c r="O12" i="150" s="1"/>
  <c r="Q12" i="150" s="1"/>
  <c r="AR8" i="150"/>
  <c r="AQ8" i="150"/>
  <c r="R11" i="150" s="1"/>
  <c r="AP8" i="150"/>
  <c r="AO8" i="150"/>
  <c r="AX8" i="150"/>
  <c r="AW8" i="150"/>
  <c r="U11" i="150" s="1"/>
  <c r="AV8" i="150"/>
  <c r="AU8" i="150"/>
  <c r="Z8" i="150" s="1"/>
  <c r="AL8" i="150"/>
  <c r="AK8" i="150"/>
  <c r="AM8" i="150" s="1"/>
  <c r="AJ8" i="150"/>
  <c r="O10" i="150"/>
  <c r="AI8" i="150"/>
  <c r="AQ7" i="150"/>
  <c r="R9" i="150" s="1"/>
  <c r="T9" i="150" s="1"/>
  <c r="AR7" i="150"/>
  <c r="AW7" i="150"/>
  <c r="AY7" i="150" s="1"/>
  <c r="AX7" i="150"/>
  <c r="AK7" i="150"/>
  <c r="AC7" i="150" s="1"/>
  <c r="L9" i="150" s="1"/>
  <c r="N9" i="150" s="1"/>
  <c r="AL7" i="150"/>
  <c r="AO7" i="150"/>
  <c r="AU7" i="150"/>
  <c r="AI7" i="150"/>
  <c r="AM7" i="150" s="1"/>
  <c r="AP7" i="150"/>
  <c r="AT7" i="150" s="1"/>
  <c r="AV7" i="150"/>
  <c r="AZ7" i="150" s="1"/>
  <c r="AJ7" i="150"/>
  <c r="AA7" i="150" s="1"/>
  <c r="AG7" i="150" s="1"/>
  <c r="O22" i="150"/>
  <c r="AD12" i="150"/>
  <c r="AA14" i="150"/>
  <c r="AA9" i="150"/>
  <c r="AT16" i="150"/>
  <c r="AT14" i="150"/>
  <c r="AT12" i="150"/>
  <c r="AT10" i="150"/>
  <c r="AY17" i="150"/>
  <c r="AY16" i="150"/>
  <c r="AY15" i="150"/>
  <c r="AY14" i="150"/>
  <c r="AZ12" i="150"/>
  <c r="AY12" i="150"/>
  <c r="AY11" i="150"/>
  <c r="AZ9" i="150"/>
  <c r="AN14" i="150"/>
  <c r="AN13" i="150"/>
  <c r="AN12" i="150"/>
  <c r="AN11" i="150"/>
  <c r="AN10" i="150"/>
  <c r="AN9" i="150"/>
  <c r="U29" i="150"/>
  <c r="V30" i="150" s="1"/>
  <c r="Z12" i="150"/>
  <c r="Z16" i="150"/>
  <c r="Q22" i="150"/>
  <c r="AP20" i="149"/>
  <c r="AO20" i="149"/>
  <c r="C34" i="37"/>
  <c r="C26" i="40"/>
  <c r="AM20" i="149"/>
  <c r="AN20" i="149"/>
  <c r="C33" i="40"/>
  <c r="C33" i="37"/>
  <c r="AL20" i="149"/>
  <c r="AK20" i="149"/>
  <c r="C34" i="40"/>
  <c r="C32" i="40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 s="1"/>
  <c r="AI20" i="149"/>
  <c r="AJ20" i="149"/>
  <c r="D31" i="37"/>
  <c r="E31" i="37"/>
  <c r="F31" i="37"/>
  <c r="G31" i="37"/>
  <c r="H31" i="37"/>
  <c r="I31" i="37"/>
  <c r="J31" i="37"/>
  <c r="K31" i="37"/>
  <c r="L31" i="37"/>
  <c r="M31" i="37"/>
  <c r="N31" i="37"/>
  <c r="O31" i="37"/>
  <c r="L26" i="37"/>
  <c r="L52" i="37" s="1"/>
  <c r="M26" i="37"/>
  <c r="M52" i="37" s="1"/>
  <c r="N26" i="37"/>
  <c r="N52" i="37" s="1"/>
  <c r="O26" i="37"/>
  <c r="O52" i="37" s="1"/>
  <c r="D26" i="37"/>
  <c r="D52" i="37" s="1"/>
  <c r="E26" i="37"/>
  <c r="E52" i="37" s="1"/>
  <c r="F26" i="37"/>
  <c r="F52" i="37" s="1"/>
  <c r="G26" i="37"/>
  <c r="G52" i="37" s="1"/>
  <c r="H26" i="37"/>
  <c r="H52" i="37" s="1"/>
  <c r="I26" i="37"/>
  <c r="I52" i="37" s="1"/>
  <c r="J26" i="37"/>
  <c r="J52" i="37" s="1"/>
  <c r="K26" i="37"/>
  <c r="K52" i="37" s="1"/>
  <c r="C31" i="40"/>
  <c r="AH20" i="149"/>
  <c r="AG20" i="149"/>
  <c r="AF20" i="149"/>
  <c r="C29" i="40"/>
  <c r="C30" i="40"/>
  <c r="C28" i="40"/>
  <c r="AE20" i="149"/>
  <c r="D29" i="37"/>
  <c r="E29" i="37"/>
  <c r="F29" i="37"/>
  <c r="G29" i="37"/>
  <c r="H29" i="37"/>
  <c r="I29" i="37"/>
  <c r="J29" i="37"/>
  <c r="K29" i="37"/>
  <c r="L29" i="37"/>
  <c r="M29" i="37"/>
  <c r="N29" i="37"/>
  <c r="O29" i="37"/>
  <c r="G30" i="37"/>
  <c r="E30" i="37"/>
  <c r="O30" i="37"/>
  <c r="N30" i="37"/>
  <c r="M30" i="37"/>
  <c r="L30" i="37"/>
  <c r="K30" i="37"/>
  <c r="J30" i="37"/>
  <c r="I30" i="37"/>
  <c r="H30" i="37"/>
  <c r="F30" i="37"/>
  <c r="D30" i="37"/>
  <c r="C30" i="37" s="1"/>
  <c r="C6" i="40"/>
  <c r="AC20" i="149"/>
  <c r="AD20" i="149"/>
  <c r="D28" i="37"/>
  <c r="E28" i="37"/>
  <c r="F28" i="37"/>
  <c r="G28" i="37"/>
  <c r="H28" i="37"/>
  <c r="I28" i="37"/>
  <c r="J28" i="37"/>
  <c r="K28" i="37"/>
  <c r="L28" i="37"/>
  <c r="M28" i="37"/>
  <c r="N28" i="37"/>
  <c r="O28" i="37"/>
  <c r="AB20" i="149"/>
  <c r="AA20" i="149"/>
  <c r="C7" i="40"/>
  <c r="C8" i="40"/>
  <c r="C9" i="40"/>
  <c r="C10" i="40"/>
  <c r="C11" i="40"/>
  <c r="C12" i="40"/>
  <c r="C13" i="40"/>
  <c r="C14" i="40"/>
  <c r="C15" i="40"/>
  <c r="C16" i="40"/>
  <c r="C52" i="40" s="1"/>
  <c r="C17" i="40"/>
  <c r="C18" i="40"/>
  <c r="C19" i="40"/>
  <c r="C20" i="40"/>
  <c r="C21" i="40"/>
  <c r="C22" i="40"/>
  <c r="C23" i="40"/>
  <c r="C24" i="40"/>
  <c r="C25" i="40"/>
  <c r="C27" i="40"/>
  <c r="C6" i="37"/>
  <c r="D56" i="37" s="1"/>
  <c r="C7" i="37"/>
  <c r="C8" i="37"/>
  <c r="C9" i="37"/>
  <c r="C10" i="37"/>
  <c r="C11" i="37"/>
  <c r="C12" i="37"/>
  <c r="C13" i="37"/>
  <c r="C14" i="37"/>
  <c r="C15" i="37"/>
  <c r="C16" i="37"/>
  <c r="D57" i="37" s="1"/>
  <c r="C17" i="37"/>
  <c r="C18" i="37"/>
  <c r="C19" i="37"/>
  <c r="C20" i="37"/>
  <c r="C21" i="37"/>
  <c r="C22" i="37"/>
  <c r="C23" i="37"/>
  <c r="C24" i="37"/>
  <c r="D25" i="37"/>
  <c r="E25" i="37"/>
  <c r="F25" i="37"/>
  <c r="G25" i="37"/>
  <c r="H25" i="37"/>
  <c r="I25" i="37"/>
  <c r="J25" i="37"/>
  <c r="K25" i="37"/>
  <c r="L25" i="37"/>
  <c r="M25" i="37"/>
  <c r="N25" i="37"/>
  <c r="O25" i="37"/>
  <c r="C25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D50" i="37"/>
  <c r="E50" i="37"/>
  <c r="F50" i="37"/>
  <c r="G50" i="37"/>
  <c r="H50" i="37"/>
  <c r="I50" i="37"/>
  <c r="J50" i="37"/>
  <c r="K50" i="37"/>
  <c r="L50" i="37"/>
  <c r="M50" i="37"/>
  <c r="N50" i="37"/>
  <c r="O50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E56" i="37"/>
  <c r="I56" i="37"/>
  <c r="M56" i="37"/>
  <c r="U20" i="149"/>
  <c r="V20" i="149"/>
  <c r="W20" i="149"/>
  <c r="X20" i="149"/>
  <c r="Y20" i="149"/>
  <c r="Z20" i="149"/>
  <c r="AA17" i="150"/>
  <c r="AD17" i="150"/>
  <c r="AN17" i="150"/>
  <c r="AZ17" i="150"/>
  <c r="AT17" i="150"/>
  <c r="AS8" i="150"/>
  <c r="AD7" i="150"/>
  <c r="AN7" i="150"/>
  <c r="AD8" i="150"/>
  <c r="AA8" i="150"/>
  <c r="AG8" i="150" s="1"/>
  <c r="AZ8" i="150"/>
  <c r="AY8" i="150"/>
  <c r="AN8" i="150"/>
  <c r="O18" i="150"/>
  <c r="Q18" i="150" s="1"/>
  <c r="R14" i="150"/>
  <c r="T14" i="150" s="1"/>
  <c r="R12" i="150"/>
  <c r="T12" i="150" s="1"/>
  <c r="O8" i="150"/>
  <c r="Q8" i="150" s="1"/>
  <c r="U9" i="150"/>
  <c r="U28" i="150"/>
  <c r="T11" i="150"/>
  <c r="S14" i="150"/>
  <c r="P18" i="150"/>
  <c r="T19" i="150"/>
  <c r="Q25" i="150"/>
  <c r="V29" i="150"/>
  <c r="AC14" i="150"/>
  <c r="AC15" i="150"/>
  <c r="AC16" i="150"/>
  <c r="AC11" i="150"/>
  <c r="AM14" i="150"/>
  <c r="U8" i="150"/>
  <c r="W8" i="150" s="1"/>
  <c r="T30" i="150"/>
  <c r="Q10" i="150"/>
  <c r="R8" i="150"/>
  <c r="S8" i="150" s="1"/>
  <c r="L25" i="150"/>
  <c r="N25" i="150" s="1"/>
  <c r="V8" i="150"/>
  <c r="M57" i="37" l="1"/>
  <c r="E57" i="37"/>
  <c r="C59" i="40"/>
  <c r="C53" i="40"/>
  <c r="K57" i="37"/>
  <c r="O56" i="37"/>
  <c r="K56" i="37"/>
  <c r="G56" i="37"/>
  <c r="W20" i="150"/>
  <c r="V21" i="150"/>
  <c r="V20" i="150"/>
  <c r="P30" i="150"/>
  <c r="Q29" i="150"/>
  <c r="V17" i="150"/>
  <c r="W16" i="150"/>
  <c r="V28" i="150"/>
  <c r="C31" i="37"/>
  <c r="V9" i="150"/>
  <c r="P8" i="150"/>
  <c r="Z7" i="150"/>
  <c r="AC12" i="150"/>
  <c r="L10" i="150"/>
  <c r="N10" i="150" s="1"/>
  <c r="P19" i="150"/>
  <c r="O16" i="150"/>
  <c r="AC8" i="150"/>
  <c r="AG17" i="150"/>
  <c r="Z10" i="150"/>
  <c r="O28" i="150"/>
  <c r="AY10" i="150"/>
  <c r="AT15" i="150"/>
  <c r="O9" i="150"/>
  <c r="U10" i="150"/>
  <c r="O15" i="150"/>
  <c r="Q15" i="150" s="1"/>
  <c r="R17" i="150"/>
  <c r="T17" i="150" s="1"/>
  <c r="AM12" i="150"/>
  <c r="U18" i="150"/>
  <c r="R21" i="150"/>
  <c r="T21" i="150" s="1"/>
  <c r="O23" i="150"/>
  <c r="Q23" i="150" s="1"/>
  <c r="Z14" i="150"/>
  <c r="L22" i="150" s="1"/>
  <c r="AZ14" i="150"/>
  <c r="O27" i="150"/>
  <c r="U26" i="150"/>
  <c r="S31" i="150"/>
  <c r="P31" i="150"/>
  <c r="C58" i="40"/>
  <c r="I57" i="37"/>
  <c r="O57" i="37"/>
  <c r="G57" i="37"/>
  <c r="C50" i="37"/>
  <c r="F60" i="37"/>
  <c r="O60" i="37"/>
  <c r="D60" i="37"/>
  <c r="W10" i="150"/>
  <c r="V11" i="150"/>
  <c r="P15" i="150"/>
  <c r="P16" i="150"/>
  <c r="W11" i="150"/>
  <c r="T23" i="150"/>
  <c r="S24" i="150"/>
  <c r="S9" i="150"/>
  <c r="V10" i="150"/>
  <c r="C28" i="37"/>
  <c r="C29" i="37"/>
  <c r="Z13" i="150"/>
  <c r="V22" i="150"/>
  <c r="O59" i="37"/>
  <c r="K59" i="37"/>
  <c r="G59" i="37"/>
  <c r="C51" i="40"/>
  <c r="C50" i="40"/>
  <c r="C57" i="40"/>
  <c r="AF16" i="150"/>
  <c r="AE16" i="150" s="1"/>
  <c r="AS7" i="150"/>
  <c r="O11" i="150"/>
  <c r="U12" i="150"/>
  <c r="V12" i="150" s="1"/>
  <c r="AM10" i="150"/>
  <c r="U15" i="150"/>
  <c r="AA11" i="150"/>
  <c r="AT11" i="150"/>
  <c r="U19" i="150"/>
  <c r="U25" i="150"/>
  <c r="AD16" i="150"/>
  <c r="L27" i="150" s="1"/>
  <c r="N27" i="150" s="1"/>
  <c r="M59" i="37"/>
  <c r="I59" i="37"/>
  <c r="E59" i="37"/>
  <c r="L60" i="37"/>
  <c r="H60" i="37"/>
  <c r="N60" i="37"/>
  <c r="J60" i="37"/>
  <c r="N57" i="37"/>
  <c r="L57" i="37"/>
  <c r="J57" i="37"/>
  <c r="H57" i="37"/>
  <c r="F57" i="37"/>
  <c r="N56" i="37"/>
  <c r="L56" i="37"/>
  <c r="J56" i="37"/>
  <c r="H56" i="37"/>
  <c r="F56" i="37"/>
  <c r="AF14" i="150"/>
  <c r="AB14" i="150" s="1"/>
  <c r="AB16" i="150"/>
  <c r="W22" i="150"/>
  <c r="V23" i="150"/>
  <c r="O13" i="150"/>
  <c r="AM9" i="150"/>
  <c r="AS9" i="150"/>
  <c r="Z9" i="150"/>
  <c r="O21" i="150"/>
  <c r="AM13" i="150"/>
  <c r="AD13" i="150"/>
  <c r="AZ13" i="150"/>
  <c r="AM15" i="150"/>
  <c r="O24" i="150"/>
  <c r="Z15" i="150"/>
  <c r="U24" i="150"/>
  <c r="AA15" i="150"/>
  <c r="AZ15" i="150"/>
  <c r="AS17" i="150"/>
  <c r="Z17" i="150"/>
  <c r="AC17" i="150"/>
  <c r="L29" i="150" s="1"/>
  <c r="R29" i="150"/>
  <c r="M10" i="150"/>
  <c r="S12" i="150"/>
  <c r="W9" i="150"/>
  <c r="C26" i="37"/>
  <c r="G58" i="37" s="1"/>
  <c r="T8" i="150"/>
  <c r="W29" i="150"/>
  <c r="R28" i="150"/>
  <c r="AC9" i="150"/>
  <c r="AC13" i="150"/>
  <c r="W28" i="150"/>
  <c r="W21" i="150"/>
  <c r="V15" i="150"/>
  <c r="S13" i="150"/>
  <c r="V14" i="150"/>
  <c r="C27" i="37"/>
  <c r="Q28" i="150"/>
  <c r="P29" i="150"/>
  <c r="AN15" i="150"/>
  <c r="AY13" i="150"/>
  <c r="AA10" i="150"/>
  <c r="AD14" i="150"/>
  <c r="R10" i="150"/>
  <c r="AT8" i="150"/>
  <c r="R15" i="150"/>
  <c r="AS10" i="150"/>
  <c r="AS11" i="150"/>
  <c r="Z11" i="150"/>
  <c r="R16" i="150"/>
  <c r="R18" i="150"/>
  <c r="AA12" i="150"/>
  <c r="R25" i="150"/>
  <c r="AS15" i="150"/>
  <c r="O26" i="150"/>
  <c r="AA16" i="150"/>
  <c r="AN16" i="150"/>
  <c r="AS16" i="150"/>
  <c r="R26" i="150"/>
  <c r="N30" i="150"/>
  <c r="M31" i="150"/>
  <c r="W30" i="150"/>
  <c r="V31" i="150"/>
  <c r="P23" i="150"/>
  <c r="AD9" i="150"/>
  <c r="AD11" i="150"/>
  <c r="L17" i="150" s="1"/>
  <c r="O20" i="150"/>
  <c r="AA13" i="150"/>
  <c r="AS13" i="150"/>
  <c r="R20" i="150"/>
  <c r="AS14" i="150"/>
  <c r="R22" i="150"/>
  <c r="AR20" i="149"/>
  <c r="AF18" i="150"/>
  <c r="E60" i="37"/>
  <c r="G60" i="37"/>
  <c r="I60" i="37"/>
  <c r="K60" i="37"/>
  <c r="M60" i="37"/>
  <c r="D59" i="37"/>
  <c r="N59" i="37"/>
  <c r="L59" i="37"/>
  <c r="J59" i="37"/>
  <c r="H59" i="37"/>
  <c r="F59" i="37"/>
  <c r="Q27" i="150" l="1"/>
  <c r="P28" i="150"/>
  <c r="Q9" i="150"/>
  <c r="P10" i="150"/>
  <c r="P9" i="150"/>
  <c r="L19" i="150"/>
  <c r="N19" i="150" s="1"/>
  <c r="AF12" i="150"/>
  <c r="AF10" i="150"/>
  <c r="AE10" i="150" s="1"/>
  <c r="L11" i="150"/>
  <c r="W26" i="150"/>
  <c r="V27" i="150"/>
  <c r="W18" i="150"/>
  <c r="V18" i="150"/>
  <c r="Q16" i="150"/>
  <c r="P17" i="150"/>
  <c r="L8" i="150"/>
  <c r="AF7" i="150"/>
  <c r="AE7" i="150" s="1"/>
  <c r="AB7" i="150"/>
  <c r="AF8" i="150"/>
  <c r="W19" i="150"/>
  <c r="V19" i="150"/>
  <c r="Q11" i="150"/>
  <c r="P11" i="150"/>
  <c r="P12" i="150"/>
  <c r="V26" i="150"/>
  <c r="W25" i="150"/>
  <c r="V16" i="150"/>
  <c r="W15" i="150"/>
  <c r="W12" i="150"/>
  <c r="V13" i="150"/>
  <c r="AE18" i="150"/>
  <c r="S23" i="150"/>
  <c r="T22" i="150"/>
  <c r="S22" i="150"/>
  <c r="T20" i="150"/>
  <c r="S21" i="150"/>
  <c r="S20" i="150"/>
  <c r="L20" i="150"/>
  <c r="AG13" i="150"/>
  <c r="N17" i="150"/>
  <c r="S27" i="150"/>
  <c r="T26" i="150"/>
  <c r="P27" i="150"/>
  <c r="Q26" i="150"/>
  <c r="S26" i="150"/>
  <c r="S25" i="150"/>
  <c r="T25" i="150"/>
  <c r="T18" i="150"/>
  <c r="S19" i="150"/>
  <c r="S18" i="150"/>
  <c r="AF11" i="150"/>
  <c r="AB11" i="150"/>
  <c r="L16" i="150"/>
  <c r="AG14" i="150"/>
  <c r="L23" i="150"/>
  <c r="T28" i="150"/>
  <c r="S28" i="150"/>
  <c r="S29" i="150"/>
  <c r="S30" i="150"/>
  <c r="T29" i="150"/>
  <c r="L28" i="150"/>
  <c r="AF17" i="150"/>
  <c r="AH17" i="150" s="1"/>
  <c r="V25" i="150"/>
  <c r="W24" i="150"/>
  <c r="P25" i="150"/>
  <c r="Q24" i="150"/>
  <c r="L12" i="150"/>
  <c r="AF9" i="150"/>
  <c r="N22" i="150"/>
  <c r="M23" i="150"/>
  <c r="P26" i="150"/>
  <c r="P24" i="150"/>
  <c r="AB18" i="150"/>
  <c r="Q20" i="150"/>
  <c r="P20" i="150"/>
  <c r="P21" i="150"/>
  <c r="AG9" i="150"/>
  <c r="L13" i="150"/>
  <c r="AG16" i="150"/>
  <c r="L26" i="150"/>
  <c r="L18" i="150"/>
  <c r="AG12" i="150"/>
  <c r="S17" i="150"/>
  <c r="T16" i="150"/>
  <c r="AG11" i="150"/>
  <c r="S15" i="150"/>
  <c r="S16" i="150"/>
  <c r="T15" i="150"/>
  <c r="T10" i="150"/>
  <c r="S11" i="150"/>
  <c r="S10" i="150"/>
  <c r="AG10" i="150"/>
  <c r="L14" i="150"/>
  <c r="M30" i="150"/>
  <c r="N29" i="150"/>
  <c r="C52" i="37"/>
  <c r="N58" i="37"/>
  <c r="F58" i="37"/>
  <c r="L58" i="37"/>
  <c r="D58" i="37"/>
  <c r="K58" i="37"/>
  <c r="C51" i="37"/>
  <c r="J58" i="37"/>
  <c r="M58" i="37"/>
  <c r="E58" i="37"/>
  <c r="H58" i="37"/>
  <c r="O58" i="37"/>
  <c r="I58" i="37"/>
  <c r="AE17" i="150"/>
  <c r="L24" i="150"/>
  <c r="AG15" i="150"/>
  <c r="AF15" i="150"/>
  <c r="L21" i="150"/>
  <c r="Q21" i="150"/>
  <c r="P22" i="150"/>
  <c r="P13" i="150"/>
  <c r="Q13" i="150"/>
  <c r="P14" i="150"/>
  <c r="V24" i="150"/>
  <c r="AE14" i="150"/>
  <c r="AF13" i="150"/>
  <c r="AE13" i="150" s="1"/>
  <c r="M9" i="150" l="1"/>
  <c r="M8" i="150"/>
  <c r="N8" i="150"/>
  <c r="AB10" i="150"/>
  <c r="AB17" i="150"/>
  <c r="AH8" i="150"/>
  <c r="AB8" i="150"/>
  <c r="M11" i="150"/>
  <c r="N11" i="150"/>
  <c r="AB12" i="150"/>
  <c r="AE12" i="150"/>
  <c r="AE8" i="150"/>
  <c r="N21" i="150"/>
  <c r="M22" i="150"/>
  <c r="AE15" i="150"/>
  <c r="AH15" i="150"/>
  <c r="AH16" i="150"/>
  <c r="N24" i="150"/>
  <c r="M25" i="150"/>
  <c r="N14" i="150"/>
  <c r="M15" i="150"/>
  <c r="N18" i="150"/>
  <c r="M19" i="150"/>
  <c r="AH9" i="150"/>
  <c r="AH10" i="150"/>
  <c r="N28" i="150"/>
  <c r="M29" i="150"/>
  <c r="M28" i="150"/>
  <c r="M18" i="150"/>
  <c r="N20" i="150"/>
  <c r="M21" i="150"/>
  <c r="AH13" i="150"/>
  <c r="AB13" i="150"/>
  <c r="AH14" i="150"/>
  <c r="AB15" i="150"/>
  <c r="AE9" i="150"/>
  <c r="N26" i="150"/>
  <c r="M27" i="150"/>
  <c r="M26" i="150"/>
  <c r="N13" i="150"/>
  <c r="M14" i="150"/>
  <c r="AB9" i="150"/>
  <c r="M13" i="150"/>
  <c r="N12" i="150"/>
  <c r="M12" i="150"/>
  <c r="M24" i="150"/>
  <c r="N23" i="150"/>
  <c r="N16" i="150"/>
  <c r="M17" i="150"/>
  <c r="M16" i="150"/>
  <c r="AH11" i="150"/>
  <c r="AE11" i="150"/>
  <c r="AH12" i="150"/>
  <c r="M20" i="150"/>
  <c r="AH18" i="150"/>
</calcChain>
</file>

<file path=xl/sharedStrings.xml><?xml version="1.0" encoding="utf-8"?>
<sst xmlns="http://schemas.openxmlformats.org/spreadsheetml/2006/main" count="688" uniqueCount="359">
  <si>
    <t>DEMANDA MÁXIMA MENSUAL DEL SISTEMA INTERCONECTADO NACIONAL</t>
  </si>
  <si>
    <t>Entrada
2002</t>
  </si>
  <si>
    <t>Salida
2002</t>
  </si>
  <si>
    <t xml:space="preserve">INTERCAMBIOS DE ENERGÍA </t>
  </si>
  <si>
    <t>DEMANDA MÁXIMA MENSUAL POR EMPRESA  DISTRIBUIDORA</t>
  </si>
  <si>
    <t>(B/. / MW)</t>
  </si>
  <si>
    <t>Mes</t>
  </si>
  <si>
    <t>PRECIO PROMEDIO MENSUAL DEL MERCADO OCASIONAL</t>
  </si>
  <si>
    <t>Entrada
2001</t>
  </si>
  <si>
    <t>Salida
2001</t>
  </si>
  <si>
    <t>Precio Promedio de Energía en el Mercado Ocasional</t>
  </si>
  <si>
    <t>Precio Spot Promedio Mensual</t>
  </si>
  <si>
    <t>Precio Monómico Promedio
de los Contratos</t>
  </si>
  <si>
    <t>EDECHI</t>
  </si>
  <si>
    <t>EDEMET</t>
  </si>
  <si>
    <t>Intercambio de Energía con Centroamérica
(MWh)</t>
  </si>
  <si>
    <t>Entrada
1999</t>
  </si>
  <si>
    <t>Salida
1999</t>
  </si>
  <si>
    <t>Entrada
2000</t>
  </si>
  <si>
    <t>Salida
2000</t>
  </si>
  <si>
    <t>Variaciones Estimadas de las Tarifas Eléctricas - Mercado de Contratos vs IRHE</t>
  </si>
  <si>
    <t>Antes de Nov 98</t>
  </si>
  <si>
    <t>Gráfica MM-1</t>
  </si>
  <si>
    <t>Gráfica MM-2</t>
  </si>
  <si>
    <t>Gráfica MM-3</t>
  </si>
  <si>
    <t>Intercambio de Energía con Centroamérica</t>
  </si>
  <si>
    <t>Precios Monómicos de los Contratos y del Mercado Ocasional</t>
  </si>
  <si>
    <t>CUADRO MM-1</t>
  </si>
  <si>
    <t>CUADRO MM-2</t>
  </si>
  <si>
    <t>CUADRO MM-3</t>
  </si>
  <si>
    <t>CUADRO MM-4</t>
  </si>
  <si>
    <t>CUADRO MM-5</t>
  </si>
  <si>
    <t>CUADRO MM-6</t>
  </si>
  <si>
    <t>MM$</t>
  </si>
  <si>
    <t>Tarifas de Distribución - Ajustes Tarifarios Semestrales vs Tarífa del IRHE</t>
  </si>
  <si>
    <t>Totales</t>
  </si>
  <si>
    <t xml:space="preserve"> 1990-2000</t>
  </si>
  <si>
    <t>(GWh)</t>
  </si>
  <si>
    <t xml:space="preserve"> </t>
  </si>
  <si>
    <t>(MW)</t>
  </si>
  <si>
    <t>Total</t>
  </si>
  <si>
    <t>Año</t>
  </si>
  <si>
    <t xml:space="preserve"> 1980-1990</t>
  </si>
  <si>
    <t>Participación Porcentual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</si>
  <si>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</si>
  <si>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</si>
  <si>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</si>
  <si>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</si>
  <si>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</si>
  <si>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</si>
  <si>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</si>
  <si>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</si>
  <si>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Sept.</t>
  </si>
  <si>
    <t>Octubre</t>
  </si>
  <si>
    <t>Noviembre</t>
  </si>
  <si>
    <t>Diciembre</t>
  </si>
  <si>
    <t xml:space="preserve"> Tasa Promedio de Crecimiento (%)</t>
  </si>
  <si>
    <t xml:space="preserve"> 1980-1987</t>
  </si>
  <si>
    <t xml:space="preserve"> 1987-1989</t>
  </si>
  <si>
    <t>Anual</t>
  </si>
  <si>
    <t>INC  MW</t>
  </si>
  <si>
    <t>FEB</t>
  </si>
  <si>
    <t>1980-2000</t>
  </si>
  <si>
    <t>(MWh)</t>
  </si>
  <si>
    <t>Detalle</t>
  </si>
  <si>
    <t>Septiembre</t>
  </si>
  <si>
    <t>Neto</t>
  </si>
  <si>
    <t>MWh</t>
  </si>
  <si>
    <t>Fuente:  ETESA</t>
  </si>
  <si>
    <t xml:space="preserve">Importación </t>
  </si>
  <si>
    <t>Exportación</t>
  </si>
  <si>
    <t>Edemet, S.A.</t>
  </si>
  <si>
    <t xml:space="preserve">Edechi, S.A. </t>
  </si>
  <si>
    <t>Fuente:   CND</t>
  </si>
  <si>
    <t>Total Anual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</si>
  <si>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</si>
  <si>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</si>
  <si>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</si>
  <si>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</si>
  <si>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</si>
  <si>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</si>
  <si>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</si>
  <si>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</si>
  <si>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</si>
  <si>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</si>
  <si>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</si>
  <si>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 98</t>
  </si>
  <si>
    <t>Feb 98</t>
  </si>
  <si>
    <t>Mar 98</t>
  </si>
  <si>
    <t>Abr 98</t>
  </si>
  <si>
    <t>May 98</t>
  </si>
  <si>
    <t>Jun 98</t>
  </si>
  <si>
    <t>Jul 98</t>
  </si>
  <si>
    <t>Ago 98</t>
  </si>
  <si>
    <t>Sep 98</t>
  </si>
  <si>
    <t>Oct 98</t>
  </si>
  <si>
    <t>Nov 98</t>
  </si>
  <si>
    <t>Dic 98</t>
  </si>
  <si>
    <t>Ene 99</t>
  </si>
  <si>
    <t>Feb 99</t>
  </si>
  <si>
    <t>Mar 99</t>
  </si>
  <si>
    <t>Abr 99</t>
  </si>
  <si>
    <t>May 99</t>
  </si>
  <si>
    <t>Jun 99</t>
  </si>
  <si>
    <t>Jul 99</t>
  </si>
  <si>
    <t>Ago 99</t>
  </si>
  <si>
    <t>Sep 99</t>
  </si>
  <si>
    <t>Oct 99</t>
  </si>
  <si>
    <t>Nov 99</t>
  </si>
  <si>
    <t>Dic 99</t>
  </si>
  <si>
    <t>Ene 00</t>
  </si>
  <si>
    <t>Feb 00</t>
  </si>
  <si>
    <t>Mar 00</t>
  </si>
  <si>
    <t>Abr 00</t>
  </si>
  <si>
    <t>May 00</t>
  </si>
  <si>
    <t>Jun 00</t>
  </si>
  <si>
    <t>Jul 00</t>
  </si>
  <si>
    <t>Ago 00</t>
  </si>
  <si>
    <t>Sep 00</t>
  </si>
  <si>
    <t>Oct 00</t>
  </si>
  <si>
    <t>Nov 00</t>
  </si>
  <si>
    <t>Dic 00</t>
  </si>
  <si>
    <t>Ene 01</t>
  </si>
  <si>
    <t>Feb 01</t>
  </si>
  <si>
    <t>Mar 01</t>
  </si>
  <si>
    <t>Abr 01</t>
  </si>
  <si>
    <t>May 01</t>
  </si>
  <si>
    <t>Jun 01</t>
  </si>
  <si>
    <t>Jul 01</t>
  </si>
  <si>
    <t>Ago 01</t>
  </si>
  <si>
    <t>Sep 01</t>
  </si>
  <si>
    <t>Oct 01</t>
  </si>
  <si>
    <t>Nov 01</t>
  </si>
  <si>
    <t>Dic 01</t>
  </si>
  <si>
    <t>Ene 02</t>
  </si>
  <si>
    <t>Feb 02</t>
  </si>
  <si>
    <t>Mar 02</t>
  </si>
  <si>
    <t>Abr 02</t>
  </si>
  <si>
    <t>May 02</t>
  </si>
  <si>
    <t>Jun 02</t>
  </si>
  <si>
    <t>Jul 02</t>
  </si>
  <si>
    <t>Ago 02</t>
  </si>
  <si>
    <t>Sep 02</t>
  </si>
  <si>
    <t>Oct 02</t>
  </si>
  <si>
    <t>Nov 02</t>
  </si>
  <si>
    <t>Dic 02</t>
  </si>
  <si>
    <t>Tasa Prom. %</t>
  </si>
  <si>
    <t>VENTAS MENSUALES DE ENERGÍA ELÉCTRICA EN EL SISTEMA NACIONAL</t>
  </si>
  <si>
    <t>Dic 03</t>
  </si>
  <si>
    <t>Ene 03</t>
  </si>
  <si>
    <t>Feb 04</t>
  </si>
  <si>
    <t>Mar 03</t>
  </si>
  <si>
    <t>Abr 03</t>
  </si>
  <si>
    <t>May 03</t>
  </si>
  <si>
    <t>Jun 03</t>
  </si>
  <si>
    <t>Jul 03</t>
  </si>
  <si>
    <t>Ago 03</t>
  </si>
  <si>
    <t>Sep 03</t>
  </si>
  <si>
    <t>Oct 03</t>
  </si>
  <si>
    <t>Nov 03</t>
  </si>
  <si>
    <t>Entrada
2003</t>
  </si>
  <si>
    <t>Salida
2003</t>
  </si>
  <si>
    <t>Dic 04</t>
  </si>
  <si>
    <t>Ene 04</t>
  </si>
  <si>
    <t>Mar 04</t>
  </si>
  <si>
    <t>Nov 04</t>
  </si>
  <si>
    <t>Abr 04</t>
  </si>
  <si>
    <t>May 04</t>
  </si>
  <si>
    <t>Jun 04</t>
  </si>
  <si>
    <t>Jul 04</t>
  </si>
  <si>
    <t>Ago 04</t>
  </si>
  <si>
    <t>Sep 04</t>
  </si>
  <si>
    <t>Oct 04</t>
  </si>
  <si>
    <t>Entrada
2004</t>
  </si>
  <si>
    <t>Salida
2004</t>
  </si>
  <si>
    <t>Tasa Prom.%</t>
  </si>
  <si>
    <t>Ene 05</t>
  </si>
  <si>
    <t>Feb 05</t>
  </si>
  <si>
    <t>Mar 05</t>
  </si>
  <si>
    <t>Abr 05</t>
  </si>
  <si>
    <t>May 05</t>
  </si>
  <si>
    <t>Jun 05</t>
  </si>
  <si>
    <t>Jul 05</t>
  </si>
  <si>
    <t>Ago 05</t>
  </si>
  <si>
    <t>Sep 05</t>
  </si>
  <si>
    <t>Oct 05</t>
  </si>
  <si>
    <t>Nov 05</t>
  </si>
  <si>
    <t>Dic 05</t>
  </si>
  <si>
    <t>Entrada
2005</t>
  </si>
  <si>
    <t>Salida
2005</t>
  </si>
  <si>
    <t>Ene 06</t>
  </si>
  <si>
    <t>Feb 06</t>
  </si>
  <si>
    <t>Mar 06</t>
  </si>
  <si>
    <t>Abr 06</t>
  </si>
  <si>
    <t>May 06</t>
  </si>
  <si>
    <t>Jun 06</t>
  </si>
  <si>
    <t>Jul 06</t>
  </si>
  <si>
    <t>Ago 06</t>
  </si>
  <si>
    <t>Sep 06</t>
  </si>
  <si>
    <t>Oct 06</t>
  </si>
  <si>
    <t>Nov 06</t>
  </si>
  <si>
    <t>Dic 06</t>
  </si>
  <si>
    <t>Entrada
2006</t>
  </si>
  <si>
    <t>Salida
2006</t>
  </si>
  <si>
    <t>Entrada
2007</t>
  </si>
  <si>
    <t>Salida
2007</t>
  </si>
  <si>
    <t>Entrada
2008</t>
  </si>
  <si>
    <t>Salida
2008</t>
  </si>
  <si>
    <t>Entrada
2009</t>
  </si>
  <si>
    <t>Salida
2009</t>
  </si>
  <si>
    <t>Ene 07</t>
  </si>
  <si>
    <t>Feb 07</t>
  </si>
  <si>
    <t>Mar 07</t>
  </si>
  <si>
    <t>Abr 07</t>
  </si>
  <si>
    <t>May 07</t>
  </si>
  <si>
    <t>Jun 07</t>
  </si>
  <si>
    <t>Jul 07</t>
  </si>
  <si>
    <t>Ago 07</t>
  </si>
  <si>
    <t>Sep 07</t>
  </si>
  <si>
    <t>Oct 07</t>
  </si>
  <si>
    <t>Nov 07</t>
  </si>
  <si>
    <t>Dic 07</t>
  </si>
  <si>
    <t>Ene 08</t>
  </si>
  <si>
    <t>Feb 08</t>
  </si>
  <si>
    <t>Mar 08</t>
  </si>
  <si>
    <t>Abr 08</t>
  </si>
  <si>
    <t>May 08</t>
  </si>
  <si>
    <t>Jun 08</t>
  </si>
  <si>
    <t>Jul 08</t>
  </si>
  <si>
    <t>Ago 08</t>
  </si>
  <si>
    <t>Sep 08</t>
  </si>
  <si>
    <t>Oct 08</t>
  </si>
  <si>
    <t>Nov 08</t>
  </si>
  <si>
    <t>Dic 08</t>
  </si>
  <si>
    <t>Ene 09</t>
  </si>
  <si>
    <t>Feb 09</t>
  </si>
  <si>
    <t>Mar 09</t>
  </si>
  <si>
    <t>Abr 09</t>
  </si>
  <si>
    <t>May 09</t>
  </si>
  <si>
    <t>Jun 09</t>
  </si>
  <si>
    <t>Jul 09</t>
  </si>
  <si>
    <t>Ago 09</t>
  </si>
  <si>
    <t>Sep 09</t>
  </si>
  <si>
    <t>Oct 09</t>
  </si>
  <si>
    <t>Nov 09</t>
  </si>
  <si>
    <t>Dic 09</t>
  </si>
  <si>
    <t>Dic 98 - Jun 99</t>
  </si>
  <si>
    <t>Jul 99 - Dic 99</t>
  </si>
  <si>
    <t>Ene 00 - Jun 00</t>
  </si>
  <si>
    <t>Jul 00 - Dic 00</t>
  </si>
  <si>
    <t>Ene 01 - Jun 01</t>
  </si>
  <si>
    <t>Jul 01 - Dic 01</t>
  </si>
  <si>
    <t>Ene 02 - Jun 02</t>
  </si>
  <si>
    <t>Jul 02 - Dic 02</t>
  </si>
  <si>
    <t>Ene 03 - Jun 03</t>
  </si>
  <si>
    <t>Jul 03 - Dic 03</t>
  </si>
  <si>
    <t>Ene 04 - Jun 04</t>
  </si>
  <si>
    <t>Jul 04 - Dic 04</t>
  </si>
  <si>
    <t>Ene 05 - Jun 05</t>
  </si>
  <si>
    <t>Jul 05 - Dic 05</t>
  </si>
  <si>
    <t>Ene 06 - Jun 06</t>
  </si>
  <si>
    <t>Jul 06 - Dic 06</t>
  </si>
  <si>
    <t>Ene 07 - Jun 07</t>
  </si>
  <si>
    <t>Jul 07 - Dic 07</t>
  </si>
  <si>
    <t>Ene 08 - Jun 08</t>
  </si>
  <si>
    <t>Jul 08 - Dic 08</t>
  </si>
  <si>
    <t>Ene 09 - Jun 09</t>
  </si>
  <si>
    <t>Jul 09 - Dic 09</t>
  </si>
  <si>
    <t>Gráfica MM-4A</t>
  </si>
  <si>
    <t>Gráfica MM-4B</t>
  </si>
  <si>
    <t>Tarifas Promedio Semestrales</t>
  </si>
  <si>
    <t>Variación vs Tarifa anterior
(%)</t>
  </si>
  <si>
    <t>Variación vs
Tarifa IRHE
(%)</t>
  </si>
  <si>
    <t>Tarifa
(Ctvs)</t>
  </si>
  <si>
    <t>Fecha
Desde - Hasta</t>
  </si>
  <si>
    <t>PROMEDIO</t>
  </si>
  <si>
    <t>|</t>
  </si>
  <si>
    <t>GWh</t>
  </si>
  <si>
    <t>Ventas de Energía Eléctrica por las Empresas de Distribución</t>
  </si>
  <si>
    <t>2do Sem: Jul-Dic</t>
  </si>
  <si>
    <t>1er Sem: Ene-Jun</t>
  </si>
  <si>
    <t>Anual: Ene-Dic</t>
  </si>
  <si>
    <t>% GWh</t>
  </si>
  <si>
    <r>
      <rPr>
        <b/>
        <sz val="10"/>
        <rFont val="Calibri"/>
        <family val="2"/>
      </rPr>
      <t>Δ</t>
    </r>
    <r>
      <rPr>
        <b/>
        <sz val="7.5"/>
        <rFont val="Arial"/>
        <family val="2"/>
      </rPr>
      <t xml:space="preserve"> GWh (</t>
    </r>
    <r>
      <rPr>
        <b/>
        <sz val="10"/>
        <rFont val="Arial"/>
        <family val="2"/>
      </rPr>
      <t>%)</t>
    </r>
  </si>
  <si>
    <t xml:space="preserve"> 2000-2010</t>
  </si>
  <si>
    <t>2000-2010</t>
  </si>
  <si>
    <t>Entrada
2010</t>
  </si>
  <si>
    <t>Salida
2010</t>
  </si>
  <si>
    <t>Ene 10</t>
  </si>
  <si>
    <t>Feb 10</t>
  </si>
  <si>
    <t>Mar 10</t>
  </si>
  <si>
    <t>Abr 10</t>
  </si>
  <si>
    <t>May 10</t>
  </si>
  <si>
    <t>Jun 10</t>
  </si>
  <si>
    <t>Jul 10</t>
  </si>
  <si>
    <t>Ago 10</t>
  </si>
  <si>
    <t>Sep 10</t>
  </si>
  <si>
    <t>Oct 10</t>
  </si>
  <si>
    <t>Nov 10</t>
  </si>
  <si>
    <t>Dic 10</t>
  </si>
  <si>
    <t>ENSA</t>
  </si>
  <si>
    <t>Años: 1998 - 2010</t>
  </si>
  <si>
    <t>Ene 10 - Jun 10</t>
  </si>
  <si>
    <t>Jul 10 - Dic 10</t>
  </si>
  <si>
    <t>Entrada
2011</t>
  </si>
  <si>
    <t>Salida
2011</t>
  </si>
  <si>
    <t>Entrada
2012</t>
  </si>
  <si>
    <t>Salida
2012</t>
  </si>
  <si>
    <t>Entrada
2013</t>
  </si>
  <si>
    <t>Salida
2013</t>
  </si>
  <si>
    <t>Entrada
2014</t>
  </si>
  <si>
    <t>Salida
2014</t>
  </si>
  <si>
    <t>Entrada
2015</t>
  </si>
  <si>
    <t>Salida
2015</t>
  </si>
  <si>
    <t>Entrada
2016</t>
  </si>
  <si>
    <t>Salida
2016</t>
  </si>
  <si>
    <t>Entrada
2017</t>
  </si>
  <si>
    <t>Salida
2017</t>
  </si>
  <si>
    <t>Entrada
2018</t>
  </si>
  <si>
    <t>Salida
2018</t>
  </si>
  <si>
    <t>EMPRESAS DE GENERACION</t>
  </si>
  <si>
    <t>EMPRESAS CONSUMIDORAS</t>
  </si>
  <si>
    <t>MES</t>
  </si>
  <si>
    <t xml:space="preserve">GENERACION </t>
  </si>
  <si>
    <t>CONSUMO</t>
  </si>
  <si>
    <t>PERDIDAS</t>
  </si>
  <si>
    <t>CONTRATO</t>
  </si>
  <si>
    <t>COMPRA - MWh</t>
  </si>
  <si>
    <t>VENTA - MWh</t>
  </si>
  <si>
    <t xml:space="preserve">CONSUMO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</si>
  <si>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</si>
  <si>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</si>
  <si>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</si>
  <si>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</si>
  <si>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</si>
  <si>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</si>
  <si>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</si>
  <si>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</si>
  <si>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</si>
  <si>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</si>
  <si>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</si>
  <si>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</si>
  <si>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</si>
  <si>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Fuente: Informe Mensual de Mercado - CND</t>
  </si>
  <si>
    <t xml:space="preserve">ENERGIA EN CONTRATO Y EN EL MERCADO OCASIONAL  </t>
  </si>
  <si>
    <t>Entrada
2019</t>
  </si>
  <si>
    <t>Salida
2019</t>
  </si>
  <si>
    <t>1999 - 2010</t>
  </si>
  <si>
    <t>Entrada
2020</t>
  </si>
  <si>
    <t>Salida
2020</t>
  </si>
  <si>
    <t>2011 - 2021</t>
  </si>
  <si>
    <t>1980 - 2021</t>
  </si>
  <si>
    <t xml:space="preserve"> 2010-2021</t>
  </si>
  <si>
    <t>2010-2021</t>
  </si>
  <si>
    <t>1999 - 2021</t>
  </si>
  <si>
    <t>Años: 2015 - 2021</t>
  </si>
  <si>
    <t>Entrada
2021</t>
  </si>
  <si>
    <t>Salida
2021</t>
  </si>
  <si>
    <t>Año:   1999 - 2021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</si>
</sst>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_-;\-* #,##0.00_-;_-* &quot;-&quot;??_-;_-@_-"/>
    <numFmt numFmtId="165" formatCode="#,##0.0"/>
    <numFmt numFmtId="166" formatCode="0.0"/>
    <numFmt numFmtId="167" formatCode="0.0%"/>
    <numFmt numFmtId="168" formatCode="0.0_)"/>
    <numFmt numFmtId="169" formatCode="dd\-mmm\-yy_)"/>
    <numFmt numFmtId="170" formatCode="#,##0.0_);\(#,##0.0\)"/>
    <numFmt numFmtId="171" formatCode="0.00000_)"/>
    <numFmt numFmtId="172" formatCode="_-[$€-2]* #,##0.00_-;\-[$€-2]* #,##0.00_-;_-[$€-2]* &quot;-&quot;??_-"/>
    <numFmt numFmtId="173" formatCode="#,##0.0_ ;[Red]\-#,##0.0\ "/>
    <numFmt numFmtId="174" formatCode="#,##0.00_ ;[Red]\-#,##0.00\ "/>
    <numFmt numFmtId="175" formatCode="#,##0_ ;[Red]\-#,##0\ "/>
    <numFmt numFmtId="176" formatCode="#,##0.0000_ ;[Red]\-#,##0.0000\ "/>
    <numFmt numFmtId="177" formatCode="0_ ;[Red]\-0\ "/>
    <numFmt numFmtId="178" formatCode="_(* #,##0_);_(* \(#,##0\);_(* &quot;-&quot;??_);_(@_)"/>
    <numFmt numFmtId="179" formatCode="#,##0;[Red]\-#,##0;&quot;&quot;"/>
  </numFmts>
  <fonts count="3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name val="Calibri"/>
      <family val="2"/>
    </font>
    <font>
      <b/>
      <sz val="7.5"/>
      <name val="Arial"/>
      <family val="2"/>
    </font>
    <font>
      <b/>
      <sz val="10"/>
      <name val="DIN-Regular"/>
      <family val="2"/>
    </font>
    <font>
      <sz val="11"/>
      <color indexed="63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8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168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170" fontId="7" fillId="0" borderId="0" xfId="0" applyNumberFormat="1" applyFont="1" applyFill="1" applyBorder="1" applyAlignment="1" applyProtection="1">
      <alignment vertical="center"/>
    </xf>
    <xf numFmtId="173" fontId="7" fillId="0" borderId="1" xfId="0" applyNumberFormat="1" applyFont="1" applyFill="1" applyBorder="1" applyAlignment="1">
      <alignment horizontal="center" vertical="center"/>
    </xf>
    <xf numFmtId="173" fontId="7" fillId="0" borderId="2" xfId="0" applyNumberFormat="1" applyFont="1" applyFill="1" applyBorder="1" applyAlignment="1" applyProtection="1">
      <alignment horizontal="center" vertical="center"/>
    </xf>
    <xf numFmtId="173" fontId="7" fillId="0" borderId="3" xfId="0" applyNumberFormat="1" applyFont="1" applyFill="1" applyBorder="1" applyAlignment="1" applyProtection="1">
      <alignment horizontal="center" vertical="center"/>
    </xf>
    <xf numFmtId="173" fontId="8" fillId="0" borderId="2" xfId="0" applyNumberFormat="1" applyFont="1" applyBorder="1" applyAlignment="1">
      <alignment horizontal="center" vertical="center"/>
    </xf>
    <xf numFmtId="173" fontId="7" fillId="0" borderId="4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168" fontId="7" fillId="0" borderId="2" xfId="0" applyNumberFormat="1" applyFont="1" applyFill="1" applyBorder="1" applyAlignment="1" applyProtection="1">
      <alignment horizontal="center" vertical="center"/>
    </xf>
    <xf numFmtId="168" fontId="7" fillId="0" borderId="1" xfId="0" applyNumberFormat="1" applyFont="1" applyFill="1" applyBorder="1" applyAlignment="1" applyProtection="1">
      <alignment horizontal="center" vertical="center"/>
    </xf>
    <xf numFmtId="168" fontId="7" fillId="0" borderId="3" xfId="0" applyNumberFormat="1" applyFont="1" applyFill="1" applyBorder="1" applyAlignment="1" applyProtection="1">
      <alignment horizontal="center" vertical="center"/>
    </xf>
    <xf numFmtId="168" fontId="7" fillId="0" borderId="5" xfId="0" applyNumberFormat="1" applyFont="1" applyFill="1" applyBorder="1" applyAlignment="1" applyProtection="1">
      <alignment horizontal="center" vertical="center"/>
    </xf>
    <xf numFmtId="168" fontId="7" fillId="0" borderId="6" xfId="0" applyNumberFormat="1" applyFont="1" applyFill="1" applyBorder="1" applyAlignment="1" applyProtection="1">
      <alignment horizontal="center" vertical="center"/>
    </xf>
    <xf numFmtId="173" fontId="7" fillId="0" borderId="5" xfId="0" applyNumberFormat="1" applyFont="1" applyFill="1" applyBorder="1" applyAlignment="1" applyProtection="1">
      <alignment horizontal="center" vertical="center"/>
    </xf>
    <xf numFmtId="173" fontId="7" fillId="0" borderId="7" xfId="0" applyNumberFormat="1" applyFont="1" applyFill="1" applyBorder="1" applyAlignment="1" applyProtection="1">
      <alignment horizontal="center" vertical="center"/>
    </xf>
    <xf numFmtId="173" fontId="7" fillId="0" borderId="1" xfId="0" applyNumberFormat="1" applyFont="1" applyFill="1" applyBorder="1" applyAlignment="1" applyProtection="1">
      <alignment horizontal="center" vertical="center"/>
    </xf>
    <xf numFmtId="173" fontId="7" fillId="0" borderId="6" xfId="0" applyNumberFormat="1" applyFont="1" applyFill="1" applyBorder="1" applyAlignment="1" applyProtection="1">
      <alignment horizontal="center" vertical="center"/>
    </xf>
    <xf numFmtId="168" fontId="7" fillId="0" borderId="4" xfId="0" applyNumberFormat="1" applyFont="1" applyFill="1" applyBorder="1" applyAlignment="1" applyProtection="1">
      <alignment horizontal="center" vertical="center"/>
    </xf>
    <xf numFmtId="170" fontId="7" fillId="0" borderId="2" xfId="0" applyNumberFormat="1" applyFont="1" applyFill="1" applyBorder="1" applyAlignment="1" applyProtection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70" fontId="7" fillId="0" borderId="7" xfId="0" applyNumberFormat="1" applyFont="1" applyFill="1" applyBorder="1" applyAlignment="1" applyProtection="1">
      <alignment horizontal="center" vertical="center"/>
    </xf>
    <xf numFmtId="170" fontId="7" fillId="0" borderId="1" xfId="0" applyNumberFormat="1" applyFont="1" applyFill="1" applyBorder="1" applyAlignment="1" applyProtection="1">
      <alignment horizontal="center" vertical="center"/>
    </xf>
    <xf numFmtId="17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70" fontId="7" fillId="0" borderId="5" xfId="0" applyNumberFormat="1" applyFont="1" applyFill="1" applyBorder="1" applyAlignment="1" applyProtection="1">
      <alignment horizontal="center" vertical="center"/>
    </xf>
    <xf numFmtId="170" fontId="7" fillId="0" borderId="6" xfId="0" applyNumberFormat="1" applyFont="1" applyFill="1" applyBorder="1" applyAlignment="1" applyProtection="1">
      <alignment horizontal="center" vertical="center"/>
    </xf>
    <xf numFmtId="173" fontId="8" fillId="0" borderId="8" xfId="0" applyNumberFormat="1" applyFont="1" applyBorder="1" applyAlignment="1">
      <alignment horizontal="center" vertical="center"/>
    </xf>
    <xf numFmtId="173" fontId="8" fillId="0" borderId="7" xfId="3" applyNumberFormat="1" applyFont="1" applyBorder="1" applyAlignment="1">
      <alignment horizontal="center" vertical="center"/>
    </xf>
    <xf numFmtId="173" fontId="8" fillId="0" borderId="1" xfId="3" applyNumberFormat="1" applyFont="1" applyBorder="1" applyAlignment="1">
      <alignment horizontal="center" vertical="center"/>
    </xf>
    <xf numFmtId="173" fontId="8" fillId="0" borderId="9" xfId="0" applyNumberFormat="1" applyFont="1" applyBorder="1" applyAlignment="1">
      <alignment horizontal="center" vertical="center"/>
    </xf>
    <xf numFmtId="173" fontId="8" fillId="0" borderId="2" xfId="3" applyNumberFormat="1" applyFont="1" applyBorder="1" applyAlignment="1">
      <alignment horizontal="center" vertical="center"/>
    </xf>
    <xf numFmtId="173" fontId="8" fillId="0" borderId="3" xfId="3" applyNumberFormat="1" applyFont="1" applyBorder="1" applyAlignment="1">
      <alignment horizontal="center" vertical="center"/>
    </xf>
    <xf numFmtId="173" fontId="8" fillId="0" borderId="10" xfId="0" applyNumberFormat="1" applyFont="1" applyBorder="1" applyAlignment="1">
      <alignment horizontal="center" vertical="center"/>
    </xf>
    <xf numFmtId="173" fontId="8" fillId="0" borderId="11" xfId="3" applyNumberFormat="1" applyFont="1" applyBorder="1" applyAlignment="1">
      <alignment horizontal="center" vertical="center"/>
    </xf>
    <xf numFmtId="173" fontId="8" fillId="0" borderId="4" xfId="3" applyNumberFormat="1" applyFont="1" applyBorder="1" applyAlignment="1">
      <alignment horizontal="center" vertical="center"/>
    </xf>
    <xf numFmtId="167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171" fontId="8" fillId="0" borderId="0" xfId="0" applyNumberFormat="1" applyFont="1" applyBorder="1" applyAlignment="1" applyProtection="1">
      <alignment vertical="center"/>
    </xf>
    <xf numFmtId="167" fontId="7" fillId="0" borderId="0" xfId="3" applyNumberFormat="1" applyFont="1" applyFill="1" applyBorder="1" applyAlignment="1" applyProtection="1">
      <alignment vertical="center"/>
    </xf>
    <xf numFmtId="173" fontId="4" fillId="2" borderId="7" xfId="0" applyNumberFormat="1" applyFont="1" applyFill="1" applyBorder="1" applyAlignment="1">
      <alignment horizontal="center" vertical="center"/>
    </xf>
    <xf numFmtId="173" fontId="4" fillId="2" borderId="2" xfId="0" applyNumberFormat="1" applyFont="1" applyFill="1" applyBorder="1" applyAlignment="1">
      <alignment horizontal="center" vertical="center"/>
    </xf>
    <xf numFmtId="173" fontId="4" fillId="2" borderId="3" xfId="0" applyNumberFormat="1" applyFont="1" applyFill="1" applyBorder="1" applyAlignment="1">
      <alignment horizontal="center" vertical="center"/>
    </xf>
    <xf numFmtId="173" fontId="8" fillId="0" borderId="3" xfId="0" applyNumberFormat="1" applyFont="1" applyBorder="1" applyAlignment="1">
      <alignment horizontal="center" vertical="center"/>
    </xf>
    <xf numFmtId="173" fontId="6" fillId="2" borderId="2" xfId="0" applyNumberFormat="1" applyFont="1" applyFill="1" applyBorder="1" applyAlignment="1" applyProtection="1">
      <alignment horizontal="center" vertical="center"/>
    </xf>
    <xf numFmtId="173" fontId="8" fillId="0" borderId="2" xfId="0" applyNumberFormat="1" applyFont="1" applyBorder="1" applyAlignment="1">
      <alignment vertical="center"/>
    </xf>
    <xf numFmtId="173" fontId="8" fillId="0" borderId="11" xfId="0" applyNumberFormat="1" applyFont="1" applyBorder="1" applyAlignment="1">
      <alignment vertical="center"/>
    </xf>
    <xf numFmtId="173" fontId="8" fillId="0" borderId="3" xfId="0" applyNumberFormat="1" applyFont="1" applyBorder="1" applyAlignment="1">
      <alignment vertical="center"/>
    </xf>
    <xf numFmtId="173" fontId="8" fillId="0" borderId="12" xfId="0" applyNumberFormat="1" applyFont="1" applyBorder="1" applyAlignment="1">
      <alignment vertical="center"/>
    </xf>
    <xf numFmtId="173" fontId="8" fillId="0" borderId="7" xfId="0" applyNumberFormat="1" applyFont="1" applyBorder="1" applyAlignment="1">
      <alignment vertical="center"/>
    </xf>
    <xf numFmtId="173" fontId="8" fillId="0" borderId="1" xfId="0" applyNumberFormat="1" applyFont="1" applyBorder="1" applyAlignment="1">
      <alignment vertical="center"/>
    </xf>
    <xf numFmtId="173" fontId="8" fillId="0" borderId="4" xfId="0" applyNumberFormat="1" applyFont="1" applyBorder="1" applyAlignment="1">
      <alignment vertical="center"/>
    </xf>
    <xf numFmtId="173" fontId="8" fillId="0" borderId="9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3" fontId="8" fillId="0" borderId="8" xfId="0" applyNumberFormat="1" applyFont="1" applyBorder="1" applyAlignment="1">
      <alignment vertical="center"/>
    </xf>
    <xf numFmtId="173" fontId="8" fillId="0" borderId="1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3" fontId="8" fillId="0" borderId="1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3" fontId="4" fillId="0" borderId="14" xfId="0" applyNumberFormat="1" applyFont="1" applyBorder="1" applyAlignment="1">
      <alignment vertical="center"/>
    </xf>
    <xf numFmtId="174" fontId="8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2" fontId="3" fillId="0" borderId="0" xfId="0" applyNumberFormat="1" applyFont="1" applyAlignment="1">
      <alignment vertical="center"/>
    </xf>
    <xf numFmtId="4" fontId="0" fillId="0" borderId="11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2" fontId="0" fillId="0" borderId="15" xfId="0" applyNumberFormat="1" applyBorder="1" applyAlignment="1">
      <alignment vertical="center"/>
    </xf>
    <xf numFmtId="2" fontId="0" fillId="0" borderId="16" xfId="0" applyNumberFormat="1" applyBorder="1" applyAlignment="1">
      <alignment vertical="center"/>
    </xf>
    <xf numFmtId="2" fontId="0" fillId="0" borderId="17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4" fontId="0" fillId="0" borderId="9" xfId="0" applyNumberForma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73" fontId="0" fillId="0" borderId="9" xfId="0" applyNumberFormat="1" applyBorder="1" applyAlignment="1">
      <alignment vertical="center"/>
    </xf>
    <xf numFmtId="173" fontId="0" fillId="0" borderId="3" xfId="0" applyNumberFormat="1" applyBorder="1" applyAlignment="1">
      <alignment vertical="center"/>
    </xf>
    <xf numFmtId="173" fontId="0" fillId="0" borderId="10" xfId="0" applyNumberFormat="1" applyBorder="1" applyAlignment="1">
      <alignment vertical="center"/>
    </xf>
    <xf numFmtId="173" fontId="0" fillId="0" borderId="4" xfId="0" applyNumberFormat="1" applyBorder="1" applyAlignment="1">
      <alignment vertical="center"/>
    </xf>
    <xf numFmtId="173" fontId="3" fillId="0" borderId="18" xfId="0" applyNumberFormat="1" applyFont="1" applyBorder="1" applyAlignment="1">
      <alignment vertical="center"/>
    </xf>
    <xf numFmtId="173" fontId="3" fillId="0" borderId="14" xfId="0" applyNumberFormat="1" applyFont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4" fontId="0" fillId="0" borderId="1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4" fontId="8" fillId="0" borderId="9" xfId="0" applyNumberFormat="1" applyFont="1" applyBorder="1" applyAlignment="1">
      <alignment horizontal="center" vertical="center"/>
    </xf>
    <xf numFmtId="174" fontId="8" fillId="0" borderId="10" xfId="0" applyNumberFormat="1" applyFont="1" applyBorder="1" applyAlignment="1">
      <alignment horizontal="center" vertical="center"/>
    </xf>
    <xf numFmtId="173" fontId="8" fillId="0" borderId="3" xfId="0" applyNumberFormat="1" applyFont="1" applyFill="1" applyBorder="1" applyAlignment="1">
      <alignment horizontal="center" vertical="center"/>
    </xf>
    <xf numFmtId="174" fontId="8" fillId="0" borderId="2" xfId="0" applyNumberFormat="1" applyFont="1" applyBorder="1" applyAlignment="1">
      <alignment horizontal="center" vertical="center"/>
    </xf>
    <xf numFmtId="174" fontId="8" fillId="0" borderId="11" xfId="0" applyNumberFormat="1" applyFont="1" applyBorder="1" applyAlignment="1">
      <alignment horizontal="center" vertical="center"/>
    </xf>
    <xf numFmtId="173" fontId="8" fillId="0" borderId="20" xfId="0" applyNumberFormat="1" applyFont="1" applyBorder="1" applyAlignment="1">
      <alignment vertical="center"/>
    </xf>
    <xf numFmtId="173" fontId="8" fillId="0" borderId="21" xfId="0" applyNumberFormat="1" applyFont="1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24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173" fontId="8" fillId="0" borderId="19" xfId="0" applyNumberFormat="1" applyFont="1" applyBorder="1" applyAlignment="1">
      <alignment vertical="center"/>
    </xf>
    <xf numFmtId="173" fontId="4" fillId="0" borderId="18" xfId="0" applyNumberFormat="1" applyFont="1" applyBorder="1" applyAlignment="1">
      <alignment vertical="center"/>
    </xf>
    <xf numFmtId="173" fontId="4" fillId="0" borderId="25" xfId="0" applyNumberFormat="1" applyFont="1" applyBorder="1" applyAlignment="1">
      <alignment vertical="center"/>
    </xf>
    <xf numFmtId="173" fontId="8" fillId="0" borderId="15" xfId="0" applyNumberFormat="1" applyFont="1" applyBorder="1" applyAlignment="1">
      <alignment vertical="center"/>
    </xf>
    <xf numFmtId="173" fontId="8" fillId="0" borderId="26" xfId="0" applyNumberFormat="1" applyFont="1" applyBorder="1" applyAlignment="1">
      <alignment vertical="center"/>
    </xf>
    <xf numFmtId="173" fontId="4" fillId="0" borderId="27" xfId="0" applyNumberFormat="1" applyFont="1" applyBorder="1" applyAlignment="1">
      <alignment vertical="center"/>
    </xf>
    <xf numFmtId="173" fontId="4" fillId="0" borderId="28" xfId="0" applyNumberFormat="1" applyFont="1" applyBorder="1" applyAlignment="1">
      <alignment vertical="center"/>
    </xf>
    <xf numFmtId="173" fontId="8" fillId="0" borderId="0" xfId="0" applyNumberFormat="1" applyFont="1" applyAlignment="1">
      <alignment vertical="center"/>
    </xf>
    <xf numFmtId="173" fontId="4" fillId="0" borderId="29" xfId="0" applyNumberFormat="1" applyFont="1" applyBorder="1" applyAlignment="1">
      <alignment vertical="center"/>
    </xf>
    <xf numFmtId="173" fontId="8" fillId="0" borderId="1" xfId="0" applyNumberFormat="1" applyFont="1" applyFill="1" applyBorder="1" applyAlignment="1">
      <alignment vertical="center"/>
    </xf>
    <xf numFmtId="173" fontId="8" fillId="0" borderId="3" xfId="0" applyNumberFormat="1" applyFont="1" applyFill="1" applyBorder="1" applyAlignment="1">
      <alignment vertical="center"/>
    </xf>
    <xf numFmtId="173" fontId="8" fillId="0" borderId="23" xfId="0" applyNumberFormat="1" applyFont="1" applyFill="1" applyBorder="1" applyAlignment="1">
      <alignment vertical="center"/>
    </xf>
    <xf numFmtId="173" fontId="4" fillId="0" borderId="14" xfId="0" applyNumberFormat="1" applyFont="1" applyFill="1" applyBorder="1" applyAlignment="1">
      <alignment vertical="center"/>
    </xf>
    <xf numFmtId="174" fontId="8" fillId="0" borderId="13" xfId="0" applyNumberFormat="1" applyFont="1" applyBorder="1" applyAlignment="1">
      <alignment horizontal="center" vertical="center"/>
    </xf>
    <xf numFmtId="174" fontId="8" fillId="0" borderId="15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8" fontId="7" fillId="0" borderId="11" xfId="0" applyNumberFormat="1" applyFont="1" applyFill="1" applyBorder="1" applyAlignment="1" applyProtection="1">
      <alignment horizontal="center" vertical="center"/>
    </xf>
    <xf numFmtId="170" fontId="7" fillId="0" borderId="30" xfId="0" applyNumberFormat="1" applyFont="1" applyFill="1" applyBorder="1" applyAlignment="1" applyProtection="1">
      <alignment horizontal="center" vertical="center"/>
    </xf>
    <xf numFmtId="168" fontId="7" fillId="0" borderId="31" xfId="0" applyNumberFormat="1" applyFont="1" applyFill="1" applyBorder="1" applyAlignment="1" applyProtection="1">
      <alignment horizontal="center" vertical="center"/>
    </xf>
    <xf numFmtId="166" fontId="8" fillId="0" borderId="31" xfId="0" applyNumberFormat="1" applyFont="1" applyBorder="1" applyAlignment="1">
      <alignment horizontal="center" vertical="center"/>
    </xf>
    <xf numFmtId="168" fontId="7" fillId="0" borderId="32" xfId="0" applyNumberFormat="1" applyFont="1" applyFill="1" applyBorder="1" applyAlignment="1" applyProtection="1">
      <alignment horizontal="center" vertical="center"/>
    </xf>
    <xf numFmtId="173" fontId="7" fillId="0" borderId="31" xfId="0" applyNumberFormat="1" applyFont="1" applyFill="1" applyBorder="1" applyAlignment="1" applyProtection="1">
      <alignment horizontal="center" vertical="center"/>
    </xf>
    <xf numFmtId="173" fontId="8" fillId="0" borderId="31" xfId="0" applyNumberFormat="1" applyFont="1" applyBorder="1" applyAlignment="1">
      <alignment horizontal="center" vertical="center"/>
    </xf>
    <xf numFmtId="173" fontId="7" fillId="0" borderId="32" xfId="0" applyNumberFormat="1" applyFont="1" applyFill="1" applyBorder="1" applyAlignment="1" applyProtection="1">
      <alignment horizontal="center" vertical="center"/>
    </xf>
    <xf numFmtId="173" fontId="7" fillId="0" borderId="23" xfId="0" applyNumberFormat="1" applyFont="1" applyFill="1" applyBorder="1" applyAlignment="1" applyProtection="1">
      <alignment horizontal="center" vertical="center"/>
    </xf>
    <xf numFmtId="173" fontId="7" fillId="0" borderId="22" xfId="0" applyNumberFormat="1" applyFont="1" applyFill="1" applyBorder="1" applyAlignment="1" applyProtection="1">
      <alignment horizontal="center" vertical="center"/>
    </xf>
    <xf numFmtId="173" fontId="6" fillId="2" borderId="31" xfId="0" applyNumberFormat="1" applyFont="1" applyFill="1" applyBorder="1" applyAlignment="1" applyProtection="1">
      <alignment horizontal="center" vertical="center"/>
    </xf>
    <xf numFmtId="173" fontId="8" fillId="0" borderId="32" xfId="0" applyNumberFormat="1" applyFont="1" applyFill="1" applyBorder="1" applyAlignment="1">
      <alignment horizontal="center" vertical="center"/>
    </xf>
    <xf numFmtId="173" fontId="7" fillId="0" borderId="33" xfId="0" applyNumberFormat="1" applyFont="1" applyFill="1" applyBorder="1" applyAlignment="1">
      <alignment horizontal="center" vertical="center"/>
    </xf>
    <xf numFmtId="173" fontId="7" fillId="0" borderId="10" xfId="0" applyNumberFormat="1" applyFont="1" applyFill="1" applyBorder="1" applyAlignment="1">
      <alignment horizontal="center" vertical="center"/>
    </xf>
    <xf numFmtId="4" fontId="8" fillId="0" borderId="34" xfId="0" applyNumberFormat="1" applyFont="1" applyBorder="1"/>
    <xf numFmtId="4" fontId="8" fillId="0" borderId="35" xfId="0" applyNumberFormat="1" applyFont="1" applyBorder="1"/>
    <xf numFmtId="4" fontId="8" fillId="0" borderId="36" xfId="0" applyNumberFormat="1" applyFont="1" applyBorder="1"/>
    <xf numFmtId="173" fontId="4" fillId="0" borderId="37" xfId="0" applyNumberFormat="1" applyFont="1" applyBorder="1" applyAlignment="1">
      <alignment vertical="center"/>
    </xf>
    <xf numFmtId="4" fontId="14" fillId="0" borderId="7" xfId="0" applyNumberFormat="1" applyFont="1" applyBorder="1"/>
    <xf numFmtId="4" fontId="14" fillId="0" borderId="2" xfId="0" applyNumberFormat="1" applyFont="1" applyBorder="1"/>
    <xf numFmtId="4" fontId="14" fillId="0" borderId="11" xfId="0" applyNumberFormat="1" applyFont="1" applyBorder="1"/>
    <xf numFmtId="4" fontId="15" fillId="0" borderId="2" xfId="0" applyNumberFormat="1" applyFont="1" applyBorder="1"/>
    <xf numFmtId="174" fontId="8" fillId="0" borderId="38" xfId="0" applyNumberFormat="1" applyFont="1" applyBorder="1" applyAlignment="1">
      <alignment horizontal="center" vertical="center"/>
    </xf>
    <xf numFmtId="174" fontId="8" fillId="0" borderId="39" xfId="0" applyNumberFormat="1" applyFont="1" applyBorder="1" applyAlignment="1">
      <alignment horizontal="center" vertical="center"/>
    </xf>
    <xf numFmtId="174" fontId="8" fillId="0" borderId="40" xfId="0" applyNumberFormat="1" applyFont="1" applyBorder="1" applyAlignment="1">
      <alignment horizontal="center" vertical="center"/>
    </xf>
    <xf numFmtId="174" fontId="8" fillId="0" borderId="3" xfId="0" applyNumberFormat="1" applyFont="1" applyBorder="1" applyAlignment="1">
      <alignment horizontal="center" vertical="center"/>
    </xf>
    <xf numFmtId="174" fontId="8" fillId="0" borderId="4" xfId="0" applyNumberFormat="1" applyFont="1" applyBorder="1" applyAlignment="1">
      <alignment horizontal="center" vertical="center"/>
    </xf>
    <xf numFmtId="4" fontId="0" fillId="0" borderId="19" xfId="0" applyNumberFormat="1" applyBorder="1" applyAlignment="1">
      <alignment vertical="center"/>
    </xf>
    <xf numFmtId="4" fontId="0" fillId="0" borderId="41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4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17" fontId="3" fillId="0" borderId="0" xfId="0" applyNumberFormat="1" applyFont="1" applyFill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173" fontId="0" fillId="0" borderId="20" xfId="0" applyNumberFormat="1" applyBorder="1" applyAlignment="1">
      <alignment vertical="center"/>
    </xf>
    <xf numFmtId="173" fontId="0" fillId="0" borderId="43" xfId="0" applyNumberFormat="1" applyBorder="1" applyAlignment="1">
      <alignment vertical="center"/>
    </xf>
    <xf numFmtId="173" fontId="3" fillId="0" borderId="44" xfId="0" applyNumberFormat="1" applyFont="1" applyBorder="1" applyAlignment="1">
      <alignment vertical="center"/>
    </xf>
    <xf numFmtId="173" fontId="3" fillId="0" borderId="29" xfId="0" applyNumberFormat="1" applyFont="1" applyBorder="1" applyAlignment="1">
      <alignment vertical="center"/>
    </xf>
    <xf numFmtId="173" fontId="0" fillId="0" borderId="13" xfId="0" applyNumberFormat="1" applyBorder="1" applyAlignment="1">
      <alignment vertical="center"/>
    </xf>
    <xf numFmtId="173" fontId="0" fillId="0" borderId="16" xfId="0" applyNumberFormat="1" applyBorder="1" applyAlignment="1">
      <alignment vertical="center"/>
    </xf>
    <xf numFmtId="173" fontId="0" fillId="0" borderId="26" xfId="0" applyNumberFormat="1" applyBorder="1" applyAlignment="1">
      <alignment vertical="center"/>
    </xf>
    <xf numFmtId="173" fontId="6" fillId="0" borderId="5" xfId="0" applyNumberFormat="1" applyFont="1" applyFill="1" applyBorder="1" applyAlignment="1" applyProtection="1">
      <alignment horizontal="center" vertical="center"/>
    </xf>
    <xf numFmtId="173" fontId="6" fillId="0" borderId="6" xfId="0" applyNumberFormat="1" applyFont="1" applyFill="1" applyBorder="1" applyAlignment="1" applyProtection="1">
      <alignment horizontal="center" vertical="center"/>
    </xf>
    <xf numFmtId="173" fontId="6" fillId="0" borderId="9" xfId="0" applyNumberFormat="1" applyFont="1" applyFill="1" applyBorder="1" applyAlignment="1" applyProtection="1">
      <alignment horizontal="center" vertical="center"/>
    </xf>
    <xf numFmtId="173" fontId="8" fillId="0" borderId="4" xfId="0" applyNumberFormat="1" applyFont="1" applyFill="1" applyBorder="1" applyAlignment="1">
      <alignment vertical="center"/>
    </xf>
    <xf numFmtId="174" fontId="3" fillId="0" borderId="8" xfId="0" applyNumberFormat="1" applyFont="1" applyBorder="1" applyAlignment="1">
      <alignment horizontal="center" vertical="center"/>
    </xf>
    <xf numFmtId="174" fontId="0" fillId="0" borderId="7" xfId="0" applyNumberFormat="1" applyBorder="1" applyAlignment="1">
      <alignment horizontal="center" vertical="center"/>
    </xf>
    <xf numFmtId="174" fontId="0" fillId="0" borderId="1" xfId="0" applyNumberFormat="1" applyBorder="1" applyAlignment="1">
      <alignment horizontal="center" vertical="center"/>
    </xf>
    <xf numFmtId="174" fontId="1" fillId="0" borderId="9" xfId="0" applyNumberFormat="1" applyFont="1" applyBorder="1" applyAlignment="1">
      <alignment horizontal="center" vertical="center"/>
    </xf>
    <xf numFmtId="174" fontId="0" fillId="0" borderId="45" xfId="0" applyNumberFormat="1" applyBorder="1" applyAlignment="1">
      <alignment horizontal="center" vertical="center"/>
    </xf>
    <xf numFmtId="175" fontId="1" fillId="0" borderId="9" xfId="0" applyNumberFormat="1" applyFont="1" applyBorder="1" applyAlignment="1">
      <alignment horizontal="center" vertical="center"/>
    </xf>
    <xf numFmtId="173" fontId="8" fillId="0" borderId="2" xfId="0" applyNumberFormat="1" applyFont="1" applyFill="1" applyBorder="1" applyAlignment="1">
      <alignment horizontal="center" vertical="center"/>
    </xf>
    <xf numFmtId="173" fontId="6" fillId="2" borderId="3" xfId="0" applyNumberFormat="1" applyFont="1" applyFill="1" applyBorder="1" applyAlignment="1" applyProtection="1">
      <alignment horizontal="center" vertical="center"/>
    </xf>
    <xf numFmtId="173" fontId="6" fillId="0" borderId="46" xfId="0" applyNumberFormat="1" applyFont="1" applyFill="1" applyBorder="1" applyAlignment="1" applyProtection="1">
      <alignment horizontal="center" vertical="center"/>
    </xf>
    <xf numFmtId="174" fontId="8" fillId="0" borderId="26" xfId="0" applyNumberFormat="1" applyFont="1" applyBorder="1" applyAlignment="1">
      <alignment horizontal="center" vertical="center"/>
    </xf>
    <xf numFmtId="174" fontId="8" fillId="0" borderId="20" xfId="0" applyNumberFormat="1" applyFont="1" applyBorder="1" applyAlignment="1">
      <alignment horizontal="center" vertical="center"/>
    </xf>
    <xf numFmtId="174" fontId="8" fillId="0" borderId="43" xfId="0" applyNumberFormat="1" applyFont="1" applyBorder="1" applyAlignment="1">
      <alignment horizontal="center" vertical="center"/>
    </xf>
    <xf numFmtId="4" fontId="0" fillId="0" borderId="31" xfId="0" applyNumberFormat="1" applyBorder="1" applyAlignment="1">
      <alignment horizontal="center"/>
    </xf>
    <xf numFmtId="4" fontId="0" fillId="0" borderId="4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48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74" fontId="8" fillId="0" borderId="8" xfId="0" applyNumberFormat="1" applyFont="1" applyBorder="1" applyAlignment="1">
      <alignment horizontal="center" vertical="center"/>
    </xf>
    <xf numFmtId="174" fontId="8" fillId="0" borderId="45" xfId="0" applyNumberFormat="1" applyFont="1" applyBorder="1" applyAlignment="1">
      <alignment horizontal="center" vertical="center"/>
    </xf>
    <xf numFmtId="174" fontId="8" fillId="0" borderId="7" xfId="0" applyNumberFormat="1" applyFont="1" applyBorder="1" applyAlignment="1">
      <alignment horizontal="center" vertical="center"/>
    </xf>
    <xf numFmtId="174" fontId="8" fillId="0" borderId="5" xfId="0" applyNumberFormat="1" applyFont="1" applyBorder="1" applyAlignment="1">
      <alignment horizontal="center" vertical="center"/>
    </xf>
    <xf numFmtId="174" fontId="8" fillId="0" borderId="6" xfId="0" applyNumberFormat="1" applyFont="1" applyBorder="1" applyAlignment="1">
      <alignment horizontal="center" vertical="center"/>
    </xf>
    <xf numFmtId="174" fontId="8" fillId="0" borderId="22" xfId="0" applyNumberFormat="1" applyFont="1" applyBorder="1" applyAlignment="1">
      <alignment horizontal="center" vertical="center"/>
    </xf>
    <xf numFmtId="174" fontId="8" fillId="0" borderId="12" xfId="0" applyNumberFormat="1" applyFont="1" applyBorder="1" applyAlignment="1">
      <alignment horizontal="center" vertical="center"/>
    </xf>
    <xf numFmtId="174" fontId="8" fillId="0" borderId="49" xfId="0" applyNumberFormat="1" applyFont="1" applyBorder="1" applyAlignment="1">
      <alignment horizontal="center" vertical="center"/>
    </xf>
    <xf numFmtId="174" fontId="8" fillId="0" borderId="0" xfId="0" applyNumberFormat="1" applyFont="1" applyAlignment="1">
      <alignment vertical="center"/>
    </xf>
    <xf numFmtId="173" fontId="6" fillId="0" borderId="19" xfId="0" applyNumberFormat="1" applyFont="1" applyFill="1" applyBorder="1" applyAlignment="1" applyProtection="1">
      <alignment horizontal="center" vertical="center"/>
    </xf>
    <xf numFmtId="2" fontId="0" fillId="0" borderId="50" xfId="0" applyNumberFormat="1" applyBorder="1"/>
    <xf numFmtId="2" fontId="16" fillId="0" borderId="50" xfId="0" applyNumberFormat="1" applyFont="1" applyBorder="1"/>
    <xf numFmtId="2" fontId="17" fillId="0" borderId="50" xfId="0" applyNumberFormat="1" applyFont="1" applyBorder="1"/>
    <xf numFmtId="0" fontId="8" fillId="0" borderId="50" xfId="0" applyFont="1" applyBorder="1" applyAlignment="1">
      <alignment vertical="center"/>
    </xf>
    <xf numFmtId="174" fontId="8" fillId="0" borderId="2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175" fontId="0" fillId="0" borderId="0" xfId="0" applyNumberFormat="1" applyAlignment="1">
      <alignment horizontal="center" vertical="center"/>
    </xf>
    <xf numFmtId="173" fontId="8" fillId="3" borderId="3" xfId="0" applyNumberFormat="1" applyFont="1" applyFill="1" applyBorder="1" applyAlignment="1">
      <alignment horizontal="center" vertical="center"/>
    </xf>
    <xf numFmtId="4" fontId="0" fillId="0" borderId="9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2" fillId="0" borderId="34" xfId="0" applyNumberFormat="1" applyFont="1" applyBorder="1"/>
    <xf numFmtId="4" fontId="2" fillId="0" borderId="35" xfId="0" applyNumberFormat="1" applyFont="1" applyBorder="1"/>
    <xf numFmtId="4" fontId="2" fillId="0" borderId="36" xfId="0" applyNumberFormat="1" applyFont="1" applyBorder="1"/>
    <xf numFmtId="4" fontId="18" fillId="0" borderId="1" xfId="0" applyNumberFormat="1" applyFont="1" applyBorder="1"/>
    <xf numFmtId="4" fontId="18" fillId="0" borderId="3" xfId="0" applyNumberFormat="1" applyFont="1" applyBorder="1"/>
    <xf numFmtId="4" fontId="18" fillId="0" borderId="4" xfId="0" applyNumberFormat="1" applyFont="1" applyBorder="1"/>
    <xf numFmtId="166" fontId="8" fillId="0" borderId="0" xfId="0" applyNumberFormat="1" applyFont="1" applyBorder="1" applyAlignment="1">
      <alignment vertical="center"/>
    </xf>
    <xf numFmtId="173" fontId="15" fillId="3" borderId="2" xfId="0" applyNumberFormat="1" applyFont="1" applyFill="1" applyBorder="1" applyAlignment="1" applyProtection="1">
      <alignment horizontal="center" vertical="center"/>
    </xf>
    <xf numFmtId="173" fontId="8" fillId="0" borderId="23" xfId="0" applyNumberFormat="1" applyFont="1" applyBorder="1" applyAlignment="1">
      <alignment vertical="center"/>
    </xf>
    <xf numFmtId="173" fontId="8" fillId="0" borderId="16" xfId="0" applyNumberFormat="1" applyFont="1" applyBorder="1" applyAlignment="1">
      <alignment vertical="center"/>
    </xf>
    <xf numFmtId="4" fontId="18" fillId="0" borderId="7" xfId="0" applyNumberFormat="1" applyFont="1" applyBorder="1"/>
    <xf numFmtId="4" fontId="18" fillId="0" borderId="2" xfId="0" applyNumberFormat="1" applyFont="1" applyBorder="1"/>
    <xf numFmtId="4" fontId="18" fillId="0" borderId="11" xfId="0" applyNumberFormat="1" applyFont="1" applyBorder="1"/>
    <xf numFmtId="173" fontId="3" fillId="0" borderId="25" xfId="0" applyNumberFormat="1" applyFont="1" applyBorder="1" applyAlignment="1">
      <alignment vertical="center"/>
    </xf>
    <xf numFmtId="173" fontId="14" fillId="0" borderId="2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73" fontId="7" fillId="3" borderId="2" xfId="0" applyNumberFormat="1" applyFont="1" applyFill="1" applyBorder="1" applyAlignment="1" applyProtection="1">
      <alignment horizontal="center" vertical="center"/>
    </xf>
    <xf numFmtId="173" fontId="2" fillId="0" borderId="13" xfId="0" applyNumberFormat="1" applyFont="1" applyBorder="1" applyAlignment="1">
      <alignment vertical="center"/>
    </xf>
    <xf numFmtId="173" fontId="2" fillId="0" borderId="15" xfId="0" applyNumberFormat="1" applyFont="1" applyBorder="1" applyAlignment="1">
      <alignment vertical="center"/>
    </xf>
    <xf numFmtId="173" fontId="2" fillId="0" borderId="9" xfId="0" applyNumberFormat="1" applyFont="1" applyBorder="1" applyAlignment="1">
      <alignment vertical="center"/>
    </xf>
    <xf numFmtId="173" fontId="2" fillId="0" borderId="2" xfId="0" applyNumberFormat="1" applyFont="1" applyBorder="1" applyAlignment="1">
      <alignment vertical="center"/>
    </xf>
    <xf numFmtId="173" fontId="18" fillId="0" borderId="2" xfId="0" applyNumberFormat="1" applyFont="1" applyBorder="1" applyAlignment="1">
      <alignment vertical="center"/>
    </xf>
    <xf numFmtId="173" fontId="2" fillId="0" borderId="19" xfId="0" applyNumberFormat="1" applyFont="1" applyBorder="1" applyAlignment="1">
      <alignment vertical="center"/>
    </xf>
    <xf numFmtId="173" fontId="2" fillId="0" borderId="12" xfId="0" applyNumberFormat="1" applyFont="1" applyBorder="1" applyAlignment="1">
      <alignment vertical="center"/>
    </xf>
    <xf numFmtId="173" fontId="7" fillId="3" borderId="31" xfId="0" applyNumberFormat="1" applyFont="1" applyFill="1" applyBorder="1" applyAlignment="1" applyProtection="1">
      <alignment horizontal="center" vertical="center"/>
    </xf>
    <xf numFmtId="173" fontId="15" fillId="3" borderId="31" xfId="0" applyNumberFormat="1" applyFont="1" applyFill="1" applyBorder="1" applyAlignment="1" applyProtection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4" fontId="2" fillId="0" borderId="30" xfId="0" applyNumberFormat="1" applyFont="1" applyFill="1" applyBorder="1" applyAlignment="1">
      <alignment horizontal="center" vertical="center"/>
    </xf>
    <xf numFmtId="4" fontId="20" fillId="0" borderId="30" xfId="0" applyNumberFormat="1" applyFont="1" applyFill="1" applyBorder="1" applyAlignment="1">
      <alignment horizontal="center" vertical="center"/>
    </xf>
    <xf numFmtId="175" fontId="1" fillId="0" borderId="19" xfId="0" applyNumberFormat="1" applyFont="1" applyBorder="1" applyAlignment="1">
      <alignment horizontal="center" vertical="center"/>
    </xf>
    <xf numFmtId="173" fontId="0" fillId="0" borderId="0" xfId="0" applyNumberFormat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175" fontId="1" fillId="0" borderId="39" xfId="0" applyNumberFormat="1" applyFont="1" applyBorder="1" applyAlignment="1">
      <alignment horizontal="center" vertical="center"/>
    </xf>
    <xf numFmtId="175" fontId="1" fillId="0" borderId="51" xfId="0" applyNumberFormat="1" applyFont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173" fontId="0" fillId="4" borderId="23" xfId="0" applyNumberFormat="1" applyFill="1" applyBorder="1" applyAlignment="1">
      <alignment horizontal="center" vertical="center"/>
    </xf>
    <xf numFmtId="173" fontId="1" fillId="4" borderId="3" xfId="0" applyNumberFormat="1" applyFont="1" applyFill="1" applyBorder="1" applyAlignment="1">
      <alignment horizontal="center" vertical="center"/>
    </xf>
    <xf numFmtId="173" fontId="1" fillId="4" borderId="4" xfId="0" applyNumberFormat="1" applyFont="1" applyFill="1" applyBorder="1" applyAlignment="1">
      <alignment horizontal="center" vertical="center"/>
    </xf>
    <xf numFmtId="3" fontId="2" fillId="4" borderId="13" xfId="0" applyNumberFormat="1" applyFont="1" applyFill="1" applyBorder="1" applyAlignment="1">
      <alignment horizontal="center" vertical="center"/>
    </xf>
    <xf numFmtId="174" fontId="0" fillId="4" borderId="2" xfId="0" applyNumberFormat="1" applyFill="1" applyBorder="1" applyAlignment="1">
      <alignment horizontal="center" vertical="center"/>
    </xf>
    <xf numFmtId="174" fontId="0" fillId="4" borderId="20" xfId="0" applyNumberFormat="1" applyFill="1" applyBorder="1" applyAlignment="1">
      <alignment horizontal="center" vertical="center"/>
    </xf>
    <xf numFmtId="174" fontId="0" fillId="4" borderId="12" xfId="0" applyNumberFormat="1" applyFill="1" applyBorder="1" applyAlignment="1">
      <alignment horizontal="center" vertical="center"/>
    </xf>
    <xf numFmtId="174" fontId="0" fillId="4" borderId="21" xfId="0" applyNumberFormat="1" applyFill="1" applyBorder="1" applyAlignment="1">
      <alignment horizontal="center" vertical="center"/>
    </xf>
    <xf numFmtId="174" fontId="0" fillId="4" borderId="11" xfId="0" applyNumberFormat="1" applyFill="1" applyBorder="1" applyAlignment="1">
      <alignment horizontal="center" vertical="center"/>
    </xf>
    <xf numFmtId="174" fontId="0" fillId="4" borderId="43" xfId="0" applyNumberFormat="1" applyFill="1" applyBorder="1" applyAlignment="1">
      <alignment horizontal="center" vertical="center"/>
    </xf>
    <xf numFmtId="174" fontId="0" fillId="4" borderId="3" xfId="0" applyNumberFormat="1" applyFill="1" applyBorder="1" applyAlignment="1">
      <alignment horizontal="center" vertical="center"/>
    </xf>
    <xf numFmtId="174" fontId="0" fillId="4" borderId="23" xfId="0" applyNumberFormat="1" applyFill="1" applyBorder="1" applyAlignment="1">
      <alignment horizontal="center" vertical="center"/>
    </xf>
    <xf numFmtId="174" fontId="2" fillId="4" borderId="3" xfId="0" applyNumberFormat="1" applyFont="1" applyFill="1" applyBorder="1" applyAlignment="1">
      <alignment horizontal="center" vertical="center"/>
    </xf>
    <xf numFmtId="174" fontId="0" fillId="4" borderId="4" xfId="0" applyNumberFormat="1" applyFill="1" applyBorder="1" applyAlignment="1">
      <alignment horizontal="center" vertical="center"/>
    </xf>
    <xf numFmtId="175" fontId="1" fillId="0" borderId="2" xfId="0" applyNumberFormat="1" applyFont="1" applyBorder="1" applyAlignment="1">
      <alignment horizontal="center" vertical="center"/>
    </xf>
    <xf numFmtId="175" fontId="1" fillId="0" borderId="12" xfId="0" applyNumberFormat="1" applyFont="1" applyBorder="1" applyAlignment="1">
      <alignment horizontal="center" vertical="center"/>
    </xf>
    <xf numFmtId="173" fontId="0" fillId="0" borderId="12" xfId="0" applyNumberFormat="1" applyFill="1" applyBorder="1" applyAlignment="1">
      <alignment horizontal="center" vertical="center"/>
    </xf>
    <xf numFmtId="173" fontId="1" fillId="0" borderId="2" xfId="0" applyNumberFormat="1" applyFont="1" applyFill="1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10" fontId="1" fillId="4" borderId="3" xfId="3" applyNumberFormat="1" applyFont="1" applyFill="1" applyBorder="1" applyAlignment="1">
      <alignment horizontal="center" vertical="center"/>
    </xf>
    <xf numFmtId="10" fontId="1" fillId="4" borderId="4" xfId="3" applyNumberFormat="1" applyFont="1" applyFill="1" applyBorder="1" applyAlignment="1">
      <alignment horizontal="center" vertical="center"/>
    </xf>
    <xf numFmtId="10" fontId="1" fillId="4" borderId="2" xfId="3" applyNumberFormat="1" applyFont="1" applyFill="1" applyBorder="1" applyAlignment="1">
      <alignment horizontal="center" vertical="center"/>
    </xf>
    <xf numFmtId="10" fontId="1" fillId="4" borderId="11" xfId="3" applyNumberFormat="1" applyFont="1" applyFill="1" applyBorder="1" applyAlignment="1">
      <alignment horizontal="center" vertical="center"/>
    </xf>
    <xf numFmtId="10" fontId="2" fillId="4" borderId="12" xfId="3" applyNumberFormat="1" applyFont="1" applyFill="1" applyBorder="1" applyAlignment="1">
      <alignment horizontal="center" vertical="center"/>
    </xf>
    <xf numFmtId="10" fontId="2" fillId="4" borderId="20" xfId="3" applyNumberFormat="1" applyFont="1" applyFill="1" applyBorder="1" applyAlignment="1">
      <alignment horizontal="center" vertical="center"/>
    </xf>
    <xf numFmtId="10" fontId="2" fillId="4" borderId="43" xfId="3" applyNumberFormat="1" applyFont="1" applyFill="1" applyBorder="1" applyAlignment="1">
      <alignment horizontal="center" vertical="center"/>
    </xf>
    <xf numFmtId="165" fontId="1" fillId="4" borderId="20" xfId="0" applyNumberFormat="1" applyFont="1" applyFill="1" applyBorder="1" applyAlignment="1">
      <alignment horizontal="center" vertical="center"/>
    </xf>
    <xf numFmtId="165" fontId="1" fillId="4" borderId="43" xfId="0" applyNumberFormat="1" applyFont="1" applyFill="1" applyBorder="1" applyAlignment="1">
      <alignment horizontal="center" vertical="center"/>
    </xf>
    <xf numFmtId="165" fontId="2" fillId="4" borderId="17" xfId="0" applyNumberFormat="1" applyFont="1" applyFill="1" applyBorder="1" applyAlignment="1">
      <alignment horizontal="center" vertical="center"/>
    </xf>
    <xf numFmtId="165" fontId="2" fillId="4" borderId="22" xfId="0" applyNumberFormat="1" applyFont="1" applyFill="1" applyBorder="1" applyAlignment="1">
      <alignment horizontal="center" vertical="center"/>
    </xf>
    <xf numFmtId="165" fontId="2" fillId="4" borderId="39" xfId="0" applyNumberFormat="1" applyFont="1" applyFill="1" applyBorder="1" applyAlignment="1">
      <alignment horizontal="center" vertical="center"/>
    </xf>
    <xf numFmtId="165" fontId="2" fillId="4" borderId="40" xfId="0" applyNumberFormat="1" applyFont="1" applyFill="1" applyBorder="1" applyAlignment="1">
      <alignment horizontal="center" vertical="center"/>
    </xf>
    <xf numFmtId="175" fontId="1" fillId="4" borderId="7" xfId="0" applyNumberFormat="1" applyFont="1" applyFill="1" applyBorder="1" applyAlignment="1">
      <alignment horizontal="center" vertical="center"/>
    </xf>
    <xf numFmtId="173" fontId="1" fillId="4" borderId="20" xfId="0" applyNumberFormat="1" applyFont="1" applyFill="1" applyBorder="1" applyAlignment="1">
      <alignment horizontal="center" vertical="center"/>
    </xf>
    <xf numFmtId="175" fontId="1" fillId="4" borderId="2" xfId="0" applyNumberFormat="1" applyFont="1" applyFill="1" applyBorder="1" applyAlignment="1">
      <alignment horizontal="center" vertical="center"/>
    </xf>
    <xf numFmtId="173" fontId="0" fillId="4" borderId="21" xfId="0" applyNumberFormat="1" applyFill="1" applyBorder="1" applyAlignment="1">
      <alignment horizontal="center" vertical="center"/>
    </xf>
    <xf numFmtId="175" fontId="1" fillId="4" borderId="12" xfId="0" applyNumberFormat="1" applyFont="1" applyFill="1" applyBorder="1" applyAlignment="1">
      <alignment horizontal="center" vertical="center"/>
    </xf>
    <xf numFmtId="175" fontId="0" fillId="4" borderId="11" xfId="0" applyNumberFormat="1" applyFill="1" applyBorder="1" applyAlignment="1">
      <alignment horizontal="center" vertical="center"/>
    </xf>
    <xf numFmtId="173" fontId="1" fillId="4" borderId="43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1" fillId="4" borderId="45" xfId="0" applyNumberFormat="1" applyFont="1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173" fontId="1" fillId="4" borderId="45" xfId="0" applyNumberFormat="1" applyFont="1" applyFill="1" applyBorder="1" applyAlignment="1">
      <alignment horizontal="center" vertical="center"/>
    </xf>
    <xf numFmtId="173" fontId="1" fillId="4" borderId="1" xfId="0" applyNumberFormat="1" applyFont="1" applyFill="1" applyBorder="1" applyAlignment="1">
      <alignment horizontal="center" vertical="center"/>
    </xf>
    <xf numFmtId="173" fontId="1" fillId="0" borderId="7" xfId="0" applyNumberFormat="1" applyFont="1" applyFill="1" applyBorder="1" applyAlignment="1">
      <alignment horizontal="center" vertical="center"/>
    </xf>
    <xf numFmtId="175" fontId="1" fillId="0" borderId="8" xfId="0" applyNumberFormat="1" applyFont="1" applyFill="1" applyBorder="1" applyAlignment="1">
      <alignment horizontal="center" vertical="center"/>
    </xf>
    <xf numFmtId="175" fontId="1" fillId="0" borderId="7" xfId="0" applyNumberFormat="1" applyFont="1" applyFill="1" applyBorder="1" applyAlignment="1">
      <alignment horizontal="center" vertical="center"/>
    </xf>
    <xf numFmtId="175" fontId="1" fillId="0" borderId="52" xfId="0" applyNumberFormat="1" applyFont="1" applyFill="1" applyBorder="1" applyAlignment="1">
      <alignment horizontal="center" vertical="center"/>
    </xf>
    <xf numFmtId="175" fontId="1" fillId="0" borderId="9" xfId="0" applyNumberFormat="1" applyFont="1" applyFill="1" applyBorder="1" applyAlignment="1">
      <alignment horizontal="center" vertical="center"/>
    </xf>
    <xf numFmtId="175" fontId="1" fillId="0" borderId="39" xfId="0" applyNumberFormat="1" applyFont="1" applyFill="1" applyBorder="1" applyAlignment="1">
      <alignment horizontal="center" vertical="center"/>
    </xf>
    <xf numFmtId="10" fontId="2" fillId="4" borderId="15" xfId="3" applyNumberFormat="1" applyFont="1" applyFill="1" applyBorder="1" applyAlignment="1">
      <alignment horizontal="center" vertical="center"/>
    </xf>
    <xf numFmtId="10" fontId="1" fillId="4" borderId="7" xfId="3" applyNumberFormat="1" applyFont="1" applyFill="1" applyBorder="1" applyAlignment="1">
      <alignment horizontal="center" vertical="center"/>
    </xf>
    <xf numFmtId="174" fontId="0" fillId="0" borderId="9" xfId="0" applyNumberFormat="1" applyFill="1" applyBorder="1" applyAlignment="1">
      <alignment horizontal="center" vertical="center"/>
    </xf>
    <xf numFmtId="174" fontId="0" fillId="0" borderId="10" xfId="0" applyNumberFormat="1" applyFill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173" fontId="2" fillId="0" borderId="16" xfId="0" applyNumberFormat="1" applyFont="1" applyBorder="1" applyAlignment="1">
      <alignment vertical="center"/>
    </xf>
    <xf numFmtId="173" fontId="2" fillId="0" borderId="3" xfId="0" applyNumberFormat="1" applyFont="1" applyBorder="1" applyAlignment="1">
      <alignment vertical="center"/>
    </xf>
    <xf numFmtId="173" fontId="18" fillId="0" borderId="3" xfId="0" applyNumberFormat="1" applyFont="1" applyBorder="1" applyAlignment="1">
      <alignment vertical="center"/>
    </xf>
    <xf numFmtId="173" fontId="19" fillId="0" borderId="9" xfId="0" applyNumberFormat="1" applyFont="1" applyBorder="1" applyAlignment="1">
      <alignment vertical="center"/>
    </xf>
    <xf numFmtId="173" fontId="19" fillId="0" borderId="19" xfId="0" applyNumberFormat="1" applyFont="1" applyBorder="1" applyAlignment="1">
      <alignment vertical="center"/>
    </xf>
    <xf numFmtId="173" fontId="19" fillId="0" borderId="3" xfId="0" applyNumberFormat="1" applyFont="1" applyBorder="1" applyAlignment="1">
      <alignment vertical="center"/>
    </xf>
    <xf numFmtId="173" fontId="19" fillId="0" borderId="23" xfId="0" applyNumberFormat="1" applyFont="1" applyBorder="1" applyAlignment="1">
      <alignment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6" borderId="56" xfId="0" applyFont="1" applyFill="1" applyBorder="1" applyAlignment="1">
      <alignment horizontal="center" vertical="center"/>
    </xf>
    <xf numFmtId="0" fontId="3" fillId="6" borderId="57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49" fontId="3" fillId="5" borderId="53" xfId="0" applyNumberFormat="1" applyFont="1" applyFill="1" applyBorder="1" applyAlignment="1">
      <alignment horizontal="center"/>
    </xf>
    <xf numFmtId="49" fontId="3" fillId="5" borderId="58" xfId="0" applyNumberFormat="1" applyFont="1" applyFill="1" applyBorder="1" applyAlignment="1">
      <alignment horizontal="center"/>
    </xf>
    <xf numFmtId="49" fontId="3" fillId="5" borderId="54" xfId="0" applyNumberFormat="1" applyFont="1" applyFill="1" applyBorder="1" applyAlignment="1">
      <alignment horizontal="center"/>
    </xf>
    <xf numFmtId="49" fontId="3" fillId="5" borderId="59" xfId="0" applyNumberFormat="1" applyFont="1" applyFill="1" applyBorder="1" applyAlignment="1">
      <alignment horizontal="center"/>
    </xf>
    <xf numFmtId="49" fontId="3" fillId="5" borderId="60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/>
    </xf>
    <xf numFmtId="49" fontId="3" fillId="5" borderId="13" xfId="0" applyNumberFormat="1" applyFont="1" applyFill="1" applyBorder="1" applyAlignment="1">
      <alignment horizontal="center"/>
    </xf>
    <xf numFmtId="174" fontId="2" fillId="7" borderId="7" xfId="0" applyNumberFormat="1" applyFont="1" applyFill="1" applyBorder="1" applyAlignment="1">
      <alignment horizontal="center" vertical="center"/>
    </xf>
    <xf numFmtId="174" fontId="2" fillId="7" borderId="45" xfId="0" applyNumberFormat="1" applyFont="1" applyFill="1" applyBorder="1" applyAlignment="1">
      <alignment horizontal="center" vertical="center"/>
    </xf>
    <xf numFmtId="174" fontId="2" fillId="7" borderId="1" xfId="0" applyNumberFormat="1" applyFont="1" applyFill="1" applyBorder="1" applyAlignment="1">
      <alignment horizontal="center" vertical="center"/>
    </xf>
    <xf numFmtId="174" fontId="2" fillId="7" borderId="2" xfId="0" applyNumberFormat="1" applyFont="1" applyFill="1" applyBorder="1" applyAlignment="1">
      <alignment horizontal="center" vertical="center"/>
    </xf>
    <xf numFmtId="174" fontId="2" fillId="7" borderId="20" xfId="0" applyNumberFormat="1" applyFont="1" applyFill="1" applyBorder="1" applyAlignment="1">
      <alignment horizontal="center" vertical="center"/>
    </xf>
    <xf numFmtId="174" fontId="2" fillId="7" borderId="3" xfId="0" applyNumberFormat="1" applyFont="1" applyFill="1" applyBorder="1" applyAlignment="1">
      <alignment horizontal="center" vertical="center"/>
    </xf>
    <xf numFmtId="174" fontId="2" fillId="7" borderId="11" xfId="0" applyNumberFormat="1" applyFont="1" applyFill="1" applyBorder="1" applyAlignment="1">
      <alignment horizontal="center" vertical="center"/>
    </xf>
    <xf numFmtId="174" fontId="2" fillId="7" borderId="43" xfId="0" applyNumberFormat="1" applyFont="1" applyFill="1" applyBorder="1" applyAlignment="1">
      <alignment horizontal="center" vertical="center"/>
    </xf>
    <xf numFmtId="174" fontId="2" fillId="7" borderId="4" xfId="0" applyNumberFormat="1" applyFont="1" applyFill="1" applyBorder="1" applyAlignment="1">
      <alignment horizontal="center" vertical="center"/>
    </xf>
    <xf numFmtId="174" fontId="0" fillId="7" borderId="7" xfId="0" applyNumberFormat="1" applyFill="1" applyBorder="1" applyAlignment="1">
      <alignment horizontal="center"/>
    </xf>
    <xf numFmtId="174" fontId="0" fillId="7" borderId="1" xfId="0" applyNumberFormat="1" applyFill="1" applyBorder="1" applyAlignment="1">
      <alignment horizontal="center"/>
    </xf>
    <xf numFmtId="174" fontId="0" fillId="7" borderId="2" xfId="0" applyNumberFormat="1" applyFill="1" applyBorder="1" applyAlignment="1">
      <alignment horizontal="center"/>
    </xf>
    <xf numFmtId="174" fontId="0" fillId="7" borderId="3" xfId="0" applyNumberFormat="1" applyFill="1" applyBorder="1" applyAlignment="1">
      <alignment horizontal="center"/>
    </xf>
    <xf numFmtId="174" fontId="0" fillId="7" borderId="11" xfId="0" applyNumberFormat="1" applyFill="1" applyBorder="1" applyAlignment="1">
      <alignment horizontal="center"/>
    </xf>
    <xf numFmtId="174" fontId="0" fillId="7" borderId="4" xfId="0" applyNumberFormat="1" applyFill="1" applyBorder="1" applyAlignment="1">
      <alignment horizontal="center"/>
    </xf>
    <xf numFmtId="4" fontId="10" fillId="6" borderId="11" xfId="0" applyNumberFormat="1" applyFont="1" applyFill="1" applyBorder="1" applyAlignment="1">
      <alignment horizontal="center" vertical="center" wrapText="1"/>
    </xf>
    <xf numFmtId="4" fontId="10" fillId="6" borderId="4" xfId="0" applyNumberFormat="1" applyFont="1" applyFill="1" applyBorder="1" applyAlignment="1">
      <alignment horizontal="center" vertical="center" wrapText="1"/>
    </xf>
    <xf numFmtId="174" fontId="2" fillId="0" borderId="7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2" fontId="0" fillId="0" borderId="0" xfId="0" applyNumberFormat="1"/>
    <xf numFmtId="4" fontId="0" fillId="0" borderId="6" xfId="0" applyNumberFormat="1" applyFill="1" applyBorder="1" applyAlignment="1">
      <alignment horizontal="center"/>
    </xf>
    <xf numFmtId="4" fontId="0" fillId="0" borderId="22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4" xfId="0" applyNumberFormat="1" applyFill="1" applyBorder="1" applyAlignment="1">
      <alignment horizontal="center"/>
    </xf>
    <xf numFmtId="4" fontId="0" fillId="0" borderId="35" xfId="0" applyNumberFormat="1" applyFill="1" applyBorder="1" applyAlignment="1">
      <alignment horizontal="center"/>
    </xf>
    <xf numFmtId="4" fontId="0" fillId="0" borderId="55" xfId="0" applyNumberFormat="1" applyFill="1" applyBorder="1" applyAlignment="1">
      <alignment horizontal="center"/>
    </xf>
    <xf numFmtId="4" fontId="0" fillId="0" borderId="61" xfId="0" applyNumberFormat="1" applyFill="1" applyBorder="1" applyAlignment="1">
      <alignment horizontal="center"/>
    </xf>
    <xf numFmtId="4" fontId="0" fillId="0" borderId="50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174" fontId="2" fillId="0" borderId="2" xfId="0" applyNumberFormat="1" applyFont="1" applyFill="1" applyBorder="1" applyAlignment="1">
      <alignment horizontal="center" vertical="center"/>
    </xf>
    <xf numFmtId="174" fontId="2" fillId="0" borderId="11" xfId="0" applyNumberFormat="1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vertical="center"/>
    </xf>
    <xf numFmtId="0" fontId="3" fillId="5" borderId="35" xfId="0" applyFont="1" applyFill="1" applyBorder="1" applyAlignment="1">
      <alignment vertical="center"/>
    </xf>
    <xf numFmtId="0" fontId="3" fillId="5" borderId="36" xfId="0" applyFont="1" applyFill="1" applyBorder="1" applyAlignment="1">
      <alignment vertical="center"/>
    </xf>
    <xf numFmtId="0" fontId="3" fillId="5" borderId="56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vertical="center"/>
    </xf>
    <xf numFmtId="0" fontId="8" fillId="5" borderId="35" xfId="0" applyFont="1" applyFill="1" applyBorder="1" applyAlignment="1">
      <alignment vertical="center"/>
    </xf>
    <xf numFmtId="0" fontId="4" fillId="5" borderId="36" xfId="0" applyFont="1" applyFill="1" applyBorder="1" applyAlignment="1">
      <alignment vertical="center"/>
    </xf>
    <xf numFmtId="0" fontId="4" fillId="5" borderId="61" xfId="0" applyFont="1" applyFill="1" applyBorder="1" applyAlignment="1">
      <alignment vertical="center"/>
    </xf>
    <xf numFmtId="0" fontId="4" fillId="5" borderId="56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vertical="center"/>
    </xf>
    <xf numFmtId="0" fontId="8" fillId="5" borderId="56" xfId="0" applyFont="1" applyFill="1" applyBorder="1" applyAlignment="1">
      <alignment horizontal="center" vertical="center"/>
    </xf>
    <xf numFmtId="173" fontId="4" fillId="6" borderId="10" xfId="0" applyNumberFormat="1" applyFont="1" applyFill="1" applyBorder="1" applyAlignment="1">
      <alignment horizontal="center" vertical="center"/>
    </xf>
    <xf numFmtId="173" fontId="4" fillId="6" borderId="11" xfId="0" applyNumberFormat="1" applyFont="1" applyFill="1" applyBorder="1" applyAlignment="1">
      <alignment horizontal="center" vertical="center"/>
    </xf>
    <xf numFmtId="173" fontId="4" fillId="6" borderId="4" xfId="0" applyNumberFormat="1" applyFont="1" applyFill="1" applyBorder="1" applyAlignment="1">
      <alignment horizontal="center" vertical="center"/>
    </xf>
    <xf numFmtId="173" fontId="4" fillId="6" borderId="19" xfId="0" applyNumberFormat="1" applyFont="1" applyFill="1" applyBorder="1" applyAlignment="1">
      <alignment horizontal="center" vertical="center"/>
    </xf>
    <xf numFmtId="173" fontId="4" fillId="6" borderId="12" xfId="0" applyNumberFormat="1" applyFont="1" applyFill="1" applyBorder="1" applyAlignment="1">
      <alignment horizontal="center" vertical="center"/>
    </xf>
    <xf numFmtId="173" fontId="4" fillId="6" borderId="23" xfId="0" applyNumberFormat="1" applyFont="1" applyFill="1" applyBorder="1" applyAlignment="1">
      <alignment horizontal="center" vertical="center"/>
    </xf>
    <xf numFmtId="173" fontId="4" fillId="6" borderId="55" xfId="0" applyNumberFormat="1" applyFont="1" applyFill="1" applyBorder="1" applyAlignment="1">
      <alignment horizontal="center" vertical="center"/>
    </xf>
    <xf numFmtId="0" fontId="6" fillId="6" borderId="63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64" xfId="0" applyFont="1" applyFill="1" applyBorder="1" applyAlignment="1" applyProtection="1">
      <alignment horizontal="center" vertical="center"/>
    </xf>
    <xf numFmtId="0" fontId="6" fillId="6" borderId="62" xfId="0" applyFont="1" applyFill="1" applyBorder="1" applyAlignment="1" applyProtection="1">
      <alignment horizontal="center" vertical="center"/>
    </xf>
    <xf numFmtId="0" fontId="6" fillId="5" borderId="59" xfId="0" applyFont="1" applyFill="1" applyBorder="1" applyAlignment="1" applyProtection="1">
      <alignment horizontal="center" vertical="center"/>
    </xf>
    <xf numFmtId="0" fontId="6" fillId="5" borderId="58" xfId="0" applyFont="1" applyFill="1" applyBorder="1" applyAlignment="1" applyProtection="1">
      <alignment horizontal="center" vertical="center"/>
    </xf>
    <xf numFmtId="0" fontId="6" fillId="5" borderId="60" xfId="0" applyFont="1" applyFill="1" applyBorder="1" applyAlignment="1" applyProtection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6" fillId="5" borderId="54" xfId="0" applyFont="1" applyFill="1" applyBorder="1" applyAlignment="1" applyProtection="1">
      <alignment horizontal="center" vertical="center"/>
    </xf>
    <xf numFmtId="0" fontId="6" fillId="5" borderId="54" xfId="0" quotePrefix="1" applyFont="1" applyFill="1" applyBorder="1" applyAlignment="1" applyProtection="1">
      <alignment horizontal="center" vertical="center"/>
    </xf>
    <xf numFmtId="0" fontId="6" fillId="5" borderId="65" xfId="0" quotePrefix="1" applyFont="1" applyFill="1" applyBorder="1" applyAlignment="1" applyProtection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6" fillId="6" borderId="14" xfId="0" applyFont="1" applyFill="1" applyBorder="1" applyAlignment="1" applyProtection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center"/>
    </xf>
    <xf numFmtId="10" fontId="2" fillId="4" borderId="7" xfId="3" applyNumberFormat="1" applyFont="1" applyFill="1" applyBorder="1" applyAlignment="1">
      <alignment horizontal="center" vertical="center"/>
    </xf>
    <xf numFmtId="10" fontId="1" fillId="4" borderId="1" xfId="3" applyNumberFormat="1" applyFont="1" applyFill="1" applyBorder="1" applyAlignment="1">
      <alignment horizontal="center" vertical="center"/>
    </xf>
    <xf numFmtId="178" fontId="2" fillId="0" borderId="67" xfId="2" applyNumberFormat="1" applyFont="1" applyBorder="1"/>
    <xf numFmtId="0" fontId="3" fillId="6" borderId="10" xfId="0" applyFont="1" applyFill="1" applyBorder="1" applyAlignment="1">
      <alignment horizontal="center" vertical="center" wrapText="1"/>
    </xf>
    <xf numFmtId="176" fontId="3" fillId="6" borderId="11" xfId="0" applyNumberFormat="1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176" fontId="3" fillId="6" borderId="10" xfId="0" applyNumberFormat="1" applyFont="1" applyFill="1" applyBorder="1" applyAlignment="1">
      <alignment horizontal="center" vertical="center"/>
    </xf>
    <xf numFmtId="176" fontId="3" fillId="6" borderId="43" xfId="0" applyNumberFormat="1" applyFont="1" applyFill="1" applyBorder="1" applyAlignment="1">
      <alignment horizontal="center" vertical="center"/>
    </xf>
    <xf numFmtId="176" fontId="3" fillId="6" borderId="4" xfId="0" applyNumberFormat="1" applyFont="1" applyFill="1" applyBorder="1" applyAlignment="1">
      <alignment horizontal="center" vertical="center"/>
    </xf>
    <xf numFmtId="175" fontId="0" fillId="0" borderId="9" xfId="0" applyNumberFormat="1" applyFill="1" applyBorder="1" applyAlignment="1">
      <alignment horizontal="center" vertical="center"/>
    </xf>
    <xf numFmtId="175" fontId="0" fillId="0" borderId="2" xfId="0" applyNumberFormat="1" applyFill="1" applyBorder="1" applyAlignment="1">
      <alignment horizontal="center" vertical="center"/>
    </xf>
    <xf numFmtId="175" fontId="0" fillId="4" borderId="2" xfId="0" applyNumberForma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center" vertical="center" wrapText="1"/>
    </xf>
    <xf numFmtId="0" fontId="3" fillId="5" borderId="65" xfId="0" applyFont="1" applyFill="1" applyBorder="1" applyAlignment="1">
      <alignment horizontal="center" vertical="center" wrapText="1"/>
    </xf>
    <xf numFmtId="179" fontId="23" fillId="0" borderId="0" xfId="0" applyNumberFormat="1" applyFont="1" applyFill="1" applyBorder="1" applyAlignment="1">
      <alignment horizontal="center" vertical="center"/>
    </xf>
    <xf numFmtId="4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0" fillId="0" borderId="10" xfId="0" applyNumberFormat="1" applyFill="1" applyBorder="1" applyAlignment="1">
      <alignment horizontal="center" vertical="center"/>
    </xf>
    <xf numFmtId="173" fontId="1" fillId="0" borderId="11" xfId="0" applyNumberFormat="1" applyFont="1" applyFill="1" applyBorder="1" applyAlignment="1">
      <alignment horizontal="center" vertical="center"/>
    </xf>
    <xf numFmtId="175" fontId="0" fillId="0" borderId="11" xfId="0" applyNumberFormat="1" applyFill="1" applyBorder="1" applyAlignment="1">
      <alignment horizontal="center" vertical="center"/>
    </xf>
    <xf numFmtId="175" fontId="1" fillId="0" borderId="10" xfId="0" applyNumberFormat="1" applyFont="1" applyFill="1" applyBorder="1" applyAlignment="1">
      <alignment horizontal="center" vertical="center"/>
    </xf>
    <xf numFmtId="175" fontId="1" fillId="0" borderId="40" xfId="0" applyNumberFormat="1" applyFont="1" applyFill="1" applyBorder="1" applyAlignment="1">
      <alignment horizontal="center" vertical="center"/>
    </xf>
    <xf numFmtId="174" fontId="8" fillId="0" borderId="45" xfId="0" applyNumberFormat="1" applyFont="1" applyFill="1" applyBorder="1" applyAlignment="1">
      <alignment horizontal="center" vertical="center"/>
    </xf>
    <xf numFmtId="174" fontId="8" fillId="0" borderId="20" xfId="0" applyNumberFormat="1" applyFont="1" applyFill="1" applyBorder="1" applyAlignment="1">
      <alignment horizontal="center" vertical="center"/>
    </xf>
    <xf numFmtId="174" fontId="8" fillId="0" borderId="43" xfId="0" applyNumberFormat="1" applyFont="1" applyFill="1" applyBorder="1" applyAlignment="1">
      <alignment horizontal="center" vertical="center"/>
    </xf>
    <xf numFmtId="174" fontId="8" fillId="0" borderId="21" xfId="0" applyNumberFormat="1" applyFont="1" applyFill="1" applyBorder="1" applyAlignment="1">
      <alignment horizontal="center" vertical="center"/>
    </xf>
    <xf numFmtId="0" fontId="6" fillId="5" borderId="68" xfId="0" applyFont="1" applyFill="1" applyBorder="1" applyAlignment="1" applyProtection="1">
      <alignment horizontal="center" vertical="center"/>
    </xf>
    <xf numFmtId="168" fontId="7" fillId="0" borderId="9" xfId="0" applyNumberFormat="1" applyFont="1" applyFill="1" applyBorder="1" applyAlignment="1" applyProtection="1">
      <alignment horizontal="center" vertical="center"/>
    </xf>
    <xf numFmtId="0" fontId="4" fillId="5" borderId="55" xfId="0" applyFont="1" applyFill="1" applyBorder="1" applyAlignment="1">
      <alignment horizontal="center" vertical="center"/>
    </xf>
    <xf numFmtId="173" fontId="8" fillId="0" borderId="19" xfId="0" applyNumberFormat="1" applyFont="1" applyBorder="1" applyAlignment="1">
      <alignment horizontal="center" vertical="center"/>
    </xf>
    <xf numFmtId="173" fontId="7" fillId="3" borderId="32" xfId="0" applyNumberFormat="1" applyFont="1" applyFill="1" applyBorder="1" applyAlignment="1" applyProtection="1">
      <alignment horizontal="center" vertical="center"/>
    </xf>
    <xf numFmtId="173" fontId="7" fillId="0" borderId="11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>
      <alignment vertical="center"/>
    </xf>
    <xf numFmtId="173" fontId="7" fillId="0" borderId="10" xfId="0" applyNumberFormat="1" applyFont="1" applyFill="1" applyBorder="1" applyAlignment="1" applyProtection="1">
      <alignment horizontal="center" vertical="center"/>
    </xf>
    <xf numFmtId="173" fontId="7" fillId="0" borderId="19" xfId="0" applyNumberFormat="1" applyFont="1" applyFill="1" applyBorder="1" applyAlignment="1" applyProtection="1">
      <alignment horizontal="center" vertical="center"/>
    </xf>
    <xf numFmtId="173" fontId="7" fillId="0" borderId="12" xfId="0" applyNumberFormat="1" applyFont="1" applyFill="1" applyBorder="1" applyAlignment="1" applyProtection="1">
      <alignment horizontal="center" vertical="center"/>
    </xf>
    <xf numFmtId="173" fontId="7" fillId="0" borderId="9" xfId="0" applyNumberFormat="1" applyFont="1" applyFill="1" applyBorder="1" applyAlignment="1">
      <alignment horizontal="center" vertical="center"/>
    </xf>
    <xf numFmtId="173" fontId="7" fillId="0" borderId="2" xfId="0" applyNumberFormat="1" applyFont="1" applyFill="1" applyBorder="1" applyAlignment="1">
      <alignment horizontal="center" vertical="center"/>
    </xf>
    <xf numFmtId="173" fontId="7" fillId="0" borderId="3" xfId="0" applyNumberFormat="1" applyFont="1" applyFill="1" applyBorder="1" applyAlignment="1">
      <alignment horizontal="center" vertical="center"/>
    </xf>
    <xf numFmtId="173" fontId="7" fillId="0" borderId="11" xfId="0" applyNumberFormat="1" applyFont="1" applyFill="1" applyBorder="1" applyAlignment="1">
      <alignment horizontal="center" vertical="center"/>
    </xf>
    <xf numFmtId="173" fontId="7" fillId="0" borderId="4" xfId="0" applyNumberFormat="1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173" fontId="19" fillId="0" borderId="2" xfId="0" applyNumberFormat="1" applyFont="1" applyBorder="1" applyAlignment="1">
      <alignment vertical="center"/>
    </xf>
    <xf numFmtId="173" fontId="19" fillId="0" borderId="12" xfId="0" applyNumberFormat="1" applyFont="1" applyBorder="1" applyAlignment="1">
      <alignment vertical="center"/>
    </xf>
    <xf numFmtId="166" fontId="4" fillId="2" borderId="2" xfId="0" applyNumberFormat="1" applyFont="1" applyFill="1" applyBorder="1" applyAlignment="1">
      <alignment horizontal="center"/>
    </xf>
    <xf numFmtId="173" fontId="7" fillId="3" borderId="3" xfId="0" applyNumberFormat="1" applyFont="1" applyFill="1" applyBorder="1" applyAlignment="1" applyProtection="1">
      <alignment horizontal="center" vertical="center"/>
    </xf>
    <xf numFmtId="165" fontId="8" fillId="0" borderId="0" xfId="0" applyNumberFormat="1" applyFont="1" applyBorder="1" applyAlignment="1">
      <alignment vertical="center"/>
    </xf>
    <xf numFmtId="166" fontId="8" fillId="3" borderId="2" xfId="0" applyNumberFormat="1" applyFont="1" applyFill="1" applyBorder="1" applyAlignment="1">
      <alignment horizontal="center"/>
    </xf>
    <xf numFmtId="0" fontId="8" fillId="6" borderId="54" xfId="0" applyFont="1" applyFill="1" applyBorder="1" applyAlignment="1">
      <alignment horizontal="center" vertical="center" wrapText="1"/>
    </xf>
    <xf numFmtId="174" fontId="8" fillId="0" borderId="59" xfId="0" applyNumberFormat="1" applyFont="1" applyFill="1" applyBorder="1" applyAlignment="1">
      <alignment horizontal="center" vertical="center"/>
    </xf>
    <xf numFmtId="174" fontId="8" fillId="0" borderId="58" xfId="0" applyNumberFormat="1" applyFont="1" applyFill="1" applyBorder="1" applyAlignment="1">
      <alignment horizontal="center" vertical="center"/>
    </xf>
    <xf numFmtId="174" fontId="8" fillId="0" borderId="65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2" fontId="24" fillId="0" borderId="45" xfId="0" applyNumberFormat="1" applyFont="1" applyBorder="1" applyAlignment="1">
      <alignment horizontal="center" vertical="center"/>
    </xf>
    <xf numFmtId="2" fontId="24" fillId="0" borderId="26" xfId="0" applyNumberFormat="1" applyFont="1" applyBorder="1" applyAlignment="1">
      <alignment horizontal="center" vertical="center"/>
    </xf>
    <xf numFmtId="2" fontId="24" fillId="0" borderId="1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2" fontId="24" fillId="0" borderId="3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25" fillId="0" borderId="20" xfId="0" applyNumberFormat="1" applyFont="1" applyBorder="1" applyAlignment="1">
      <alignment horizontal="center" vertical="center"/>
    </xf>
    <xf numFmtId="2" fontId="25" fillId="0" borderId="3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26" fillId="0" borderId="20" xfId="0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/>
    </xf>
    <xf numFmtId="2" fontId="15" fillId="0" borderId="45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/>
    </xf>
    <xf numFmtId="2" fontId="24" fillId="0" borderId="20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2" fontId="25" fillId="0" borderId="43" xfId="0" applyNumberFormat="1" applyFont="1" applyBorder="1" applyAlignment="1">
      <alignment horizontal="center" vertical="center"/>
    </xf>
    <xf numFmtId="2" fontId="25" fillId="0" borderId="4" xfId="0" applyNumberFormat="1" applyFont="1" applyBorder="1" applyAlignment="1">
      <alignment horizontal="center" vertical="center"/>
    </xf>
    <xf numFmtId="2" fontId="7" fillId="0" borderId="45" xfId="0" applyNumberFormat="1" applyFont="1" applyBorder="1" applyAlignment="1">
      <alignment horizontal="center" vertical="center"/>
    </xf>
    <xf numFmtId="2" fontId="25" fillId="0" borderId="45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174" fontId="8" fillId="0" borderId="0" xfId="0" applyNumberFormat="1" applyFont="1" applyBorder="1" applyAlignment="1">
      <alignment vertical="center"/>
    </xf>
    <xf numFmtId="0" fontId="0" fillId="0" borderId="69" xfId="0" applyBorder="1"/>
    <xf numFmtId="0" fontId="0" fillId="0" borderId="0" xfId="0" applyBorder="1"/>
    <xf numFmtId="0" fontId="4" fillId="0" borderId="0" xfId="0" applyFont="1" applyAlignment="1">
      <alignment horizontal="center" vertical="center"/>
    </xf>
    <xf numFmtId="173" fontId="28" fillId="0" borderId="15" xfId="0" applyNumberFormat="1" applyFont="1" applyBorder="1" applyAlignment="1">
      <alignment vertical="center"/>
    </xf>
    <xf numFmtId="173" fontId="28" fillId="0" borderId="2" xfId="0" applyNumberFormat="1" applyFont="1" applyBorder="1" applyAlignment="1">
      <alignment vertical="center"/>
    </xf>
    <xf numFmtId="173" fontId="28" fillId="0" borderId="12" xfId="0" applyNumberFormat="1" applyFont="1" applyBorder="1" applyAlignment="1">
      <alignment vertical="center"/>
    </xf>
    <xf numFmtId="173" fontId="27" fillId="0" borderId="25" xfId="0" applyNumberFormat="1" applyFont="1" applyBorder="1" applyAlignment="1">
      <alignment vertical="center"/>
    </xf>
    <xf numFmtId="173" fontId="28" fillId="0" borderId="16" xfId="0" applyNumberFormat="1" applyFont="1" applyBorder="1" applyAlignment="1">
      <alignment vertical="center"/>
    </xf>
    <xf numFmtId="165" fontId="7" fillId="0" borderId="31" xfId="0" applyNumberFormat="1" applyFont="1" applyFill="1" applyBorder="1" applyAlignment="1">
      <alignment horizontal="center" vertical="center"/>
    </xf>
    <xf numFmtId="165" fontId="6" fillId="9" borderId="31" xfId="0" applyNumberFormat="1" applyFont="1" applyFill="1" applyBorder="1" applyAlignment="1">
      <alignment horizontal="center" vertical="center"/>
    </xf>
    <xf numFmtId="165" fontId="7" fillId="8" borderId="31" xfId="0" applyNumberFormat="1" applyFont="1" applyFill="1" applyBorder="1" applyAlignment="1">
      <alignment horizontal="center" vertical="center"/>
    </xf>
    <xf numFmtId="165" fontId="7" fillId="0" borderId="32" xfId="0" applyNumberFormat="1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173" fontId="1" fillId="0" borderId="13" xfId="0" applyNumberFormat="1" applyFont="1" applyBorder="1" applyAlignment="1">
      <alignment vertical="center"/>
    </xf>
    <xf numFmtId="173" fontId="1" fillId="0" borderId="9" xfId="0" applyNumberFormat="1" applyFont="1" applyBorder="1" applyAlignment="1">
      <alignment vertical="center"/>
    </xf>
    <xf numFmtId="173" fontId="1" fillId="0" borderId="19" xfId="0" applyNumberFormat="1" applyFont="1" applyBorder="1" applyAlignment="1">
      <alignment vertical="center"/>
    </xf>
    <xf numFmtId="173" fontId="29" fillId="0" borderId="16" xfId="0" applyNumberFormat="1" applyFont="1" applyBorder="1" applyAlignment="1">
      <alignment vertical="center"/>
    </xf>
    <xf numFmtId="173" fontId="29" fillId="0" borderId="3" xfId="0" applyNumberFormat="1" applyFont="1" applyBorder="1" applyAlignment="1">
      <alignment vertical="center"/>
    </xf>
    <xf numFmtId="173" fontId="29" fillId="0" borderId="23" xfId="0" applyNumberFormat="1" applyFont="1" applyBorder="1" applyAlignment="1">
      <alignment vertical="center"/>
    </xf>
    <xf numFmtId="173" fontId="30" fillId="0" borderId="14" xfId="0" applyNumberFormat="1" applyFont="1" applyBorder="1" applyAlignment="1">
      <alignment vertical="center"/>
    </xf>
    <xf numFmtId="165" fontId="6" fillId="9" borderId="2" xfId="0" applyNumberFormat="1" applyFont="1" applyFill="1" applyBorder="1" applyAlignment="1">
      <alignment horizontal="center" vertical="center"/>
    </xf>
    <xf numFmtId="165" fontId="7" fillId="8" borderId="2" xfId="0" applyNumberFormat="1" applyFont="1" applyFill="1" applyBorder="1" applyAlignment="1">
      <alignment horizontal="center" vertical="center"/>
    </xf>
    <xf numFmtId="4" fontId="28" fillId="0" borderId="32" xfId="0" applyNumberFormat="1" applyFont="1" applyBorder="1"/>
    <xf numFmtId="165" fontId="28" fillId="0" borderId="62" xfId="0" applyNumberFormat="1" applyFont="1" applyBorder="1"/>
    <xf numFmtId="165" fontId="28" fillId="0" borderId="32" xfId="0" applyNumberFormat="1" applyFont="1" applyBorder="1"/>
    <xf numFmtId="168" fontId="7" fillId="0" borderId="10" xfId="0" applyNumberFormat="1" applyFont="1" applyFill="1" applyBorder="1" applyAlignment="1" applyProtection="1">
      <alignment horizontal="center" vertical="center"/>
    </xf>
    <xf numFmtId="165" fontId="6" fillId="9" borderId="32" xfId="0" applyNumberFormat="1" applyFont="1" applyFill="1" applyBorder="1" applyAlignment="1">
      <alignment horizontal="center" vertical="center"/>
    </xf>
    <xf numFmtId="4" fontId="31" fillId="0" borderId="0" xfId="0" applyNumberFormat="1" applyFont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6" xfId="0" applyNumberFormat="1" applyBorder="1"/>
    <xf numFmtId="4" fontId="0" fillId="0" borderId="19" xfId="0" applyNumberFormat="1" applyBorder="1"/>
    <xf numFmtId="4" fontId="0" fillId="0" borderId="12" xfId="0" applyNumberFormat="1" applyBorder="1"/>
    <xf numFmtId="4" fontId="0" fillId="0" borderId="23" xfId="0" applyNumberFormat="1" applyBorder="1"/>
    <xf numFmtId="4" fontId="0" fillId="0" borderId="22" xfId="0" applyNumberFormat="1" applyBorder="1"/>
    <xf numFmtId="4" fontId="31" fillId="0" borderId="18" xfId="0" applyNumberFormat="1" applyFont="1" applyBorder="1"/>
    <xf numFmtId="4" fontId="31" fillId="0" borderId="25" xfId="0" applyNumberFormat="1" applyFont="1" applyBorder="1"/>
    <xf numFmtId="4" fontId="31" fillId="0" borderId="14" xfId="0" applyNumberFormat="1" applyFont="1" applyBorder="1"/>
    <xf numFmtId="4" fontId="31" fillId="0" borderId="57" xfId="0" applyNumberFormat="1" applyFont="1" applyBorder="1"/>
    <xf numFmtId="0" fontId="0" fillId="11" borderId="61" xfId="0" applyFill="1" applyBorder="1"/>
    <xf numFmtId="0" fontId="31" fillId="11" borderId="35" xfId="0" applyFont="1" applyFill="1" applyBorder="1"/>
    <xf numFmtId="0" fontId="31" fillId="11" borderId="55" xfId="0" applyFont="1" applyFill="1" applyBorder="1"/>
    <xf numFmtId="0" fontId="31" fillId="11" borderId="37" xfId="0" applyFont="1" applyFill="1" applyBorder="1"/>
    <xf numFmtId="0" fontId="0" fillId="11" borderId="59" xfId="0" applyFill="1" applyBorder="1"/>
    <xf numFmtId="0" fontId="31" fillId="11" borderId="58" xfId="0" applyFont="1" applyFill="1" applyBorder="1"/>
    <xf numFmtId="0" fontId="31" fillId="11" borderId="54" xfId="0" applyFont="1" applyFill="1" applyBorder="1"/>
    <xf numFmtId="0" fontId="31" fillId="11" borderId="56" xfId="0" applyFont="1" applyFill="1" applyBorder="1"/>
    <xf numFmtId="0" fontId="32" fillId="10" borderId="76" xfId="0" applyFont="1" applyFill="1" applyBorder="1" applyAlignment="1">
      <alignment horizontal="center" vertical="center" wrapText="1"/>
    </xf>
    <xf numFmtId="0" fontId="32" fillId="10" borderId="77" xfId="0" applyFont="1" applyFill="1" applyBorder="1" applyAlignment="1">
      <alignment horizontal="center" vertical="center" wrapText="1"/>
    </xf>
    <xf numFmtId="0" fontId="32" fillId="10" borderId="78" xfId="0" applyFont="1" applyFill="1" applyBorder="1" applyAlignment="1">
      <alignment horizontal="center" vertical="center" wrapText="1"/>
    </xf>
    <xf numFmtId="0" fontId="32" fillId="10" borderId="79" xfId="0" applyFont="1" applyFill="1" applyBorder="1" applyAlignment="1">
      <alignment horizontal="center" vertical="center" wrapText="1"/>
    </xf>
    <xf numFmtId="2" fontId="32" fillId="10" borderId="76" xfId="0" applyNumberFormat="1" applyFont="1" applyFill="1" applyBorder="1" applyAlignment="1">
      <alignment horizontal="center" vertical="center" wrapText="1"/>
    </xf>
    <xf numFmtId="2" fontId="32" fillId="10" borderId="77" xfId="0" applyNumberFormat="1" applyFont="1" applyFill="1" applyBorder="1" applyAlignment="1">
      <alignment horizontal="center" vertical="center" wrapText="1"/>
    </xf>
    <xf numFmtId="2" fontId="32" fillId="10" borderId="78" xfId="0" applyNumberFormat="1" applyFont="1" applyFill="1" applyBorder="1" applyAlignment="1">
      <alignment horizontal="center" vertical="center" wrapText="1"/>
    </xf>
    <xf numFmtId="2" fontId="32" fillId="10" borderId="79" xfId="0" applyNumberFormat="1" applyFont="1" applyFill="1" applyBorder="1" applyAlignment="1">
      <alignment horizontal="center" vertical="center" wrapText="1"/>
    </xf>
    <xf numFmtId="0" fontId="33" fillId="0" borderId="0" xfId="0" applyFont="1" applyAlignment="1"/>
    <xf numFmtId="165" fontId="7" fillId="8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10" fillId="6" borderId="67" xfId="0" applyNumberFormat="1" applyFont="1" applyFill="1" applyBorder="1" applyAlignment="1">
      <alignment horizontal="center" vertical="center" wrapText="1"/>
    </xf>
    <xf numFmtId="4" fontId="10" fillId="6" borderId="69" xfId="0" applyNumberFormat="1" applyFont="1" applyFill="1" applyBorder="1" applyAlignment="1">
      <alignment horizontal="center" vertical="center" wrapText="1"/>
    </xf>
    <xf numFmtId="4" fontId="10" fillId="6" borderId="70" xfId="0" applyNumberFormat="1" applyFont="1" applyFill="1" applyBorder="1" applyAlignment="1">
      <alignment horizontal="center" vertical="center" wrapText="1"/>
    </xf>
    <xf numFmtId="4" fontId="10" fillId="6" borderId="26" xfId="0" applyNumberFormat="1" applyFont="1" applyFill="1" applyBorder="1" applyAlignment="1">
      <alignment horizontal="center" vertical="center" wrapText="1"/>
    </xf>
    <xf numFmtId="4" fontId="10" fillId="6" borderId="38" xfId="0" applyNumberFormat="1" applyFont="1" applyFill="1" applyBorder="1" applyAlignment="1">
      <alignment horizontal="center" vertical="center" wrapText="1"/>
    </xf>
    <xf numFmtId="4" fontId="10" fillId="6" borderId="42" xfId="0" applyNumberFormat="1" applyFont="1" applyFill="1" applyBorder="1" applyAlignment="1">
      <alignment horizontal="center" vertical="center" wrapText="1"/>
    </xf>
    <xf numFmtId="4" fontId="10" fillId="6" borderId="5" xfId="0" applyNumberFormat="1" applyFont="1" applyFill="1" applyBorder="1" applyAlignment="1">
      <alignment horizontal="center" vertical="center" wrapText="1"/>
    </xf>
    <xf numFmtId="4" fontId="10" fillId="6" borderId="6" xfId="0" applyNumberFormat="1" applyFont="1" applyFill="1" applyBorder="1" applyAlignment="1">
      <alignment horizontal="center" vertical="center" wrapText="1"/>
    </xf>
    <xf numFmtId="4" fontId="10" fillId="6" borderId="49" xfId="0" applyNumberFormat="1" applyFont="1" applyFill="1" applyBorder="1" applyAlignment="1">
      <alignment horizontal="center" vertical="center" wrapText="1"/>
    </xf>
    <xf numFmtId="49" fontId="10" fillId="6" borderId="59" xfId="0" applyNumberFormat="1" applyFont="1" applyFill="1" applyBorder="1" applyAlignment="1">
      <alignment horizontal="center" vertical="center" wrapText="1"/>
    </xf>
    <xf numFmtId="49" fontId="10" fillId="6" borderId="58" xfId="0" applyNumberFormat="1" applyFont="1" applyFill="1" applyBorder="1" applyAlignment="1">
      <alignment horizontal="center" vertical="center" wrapText="1"/>
    </xf>
    <xf numFmtId="49" fontId="10" fillId="6" borderId="65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61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73" xfId="0" applyFont="1" applyFill="1" applyBorder="1" applyAlignment="1">
      <alignment horizontal="center" vertical="center" wrapText="1"/>
    </xf>
    <xf numFmtId="0" fontId="3" fillId="6" borderId="69" xfId="0" applyFont="1" applyFill="1" applyBorder="1" applyAlignment="1">
      <alignment horizontal="center" vertical="center" wrapText="1"/>
    </xf>
    <xf numFmtId="0" fontId="3" fillId="6" borderId="70" xfId="0" applyFont="1" applyFill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6" borderId="71" xfId="0" applyFont="1" applyFill="1" applyBorder="1" applyAlignment="1">
      <alignment horizontal="center" vertical="center" wrapText="1"/>
    </xf>
    <xf numFmtId="0" fontId="3" fillId="6" borderId="72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74" xfId="0" applyFont="1" applyFill="1" applyBorder="1" applyAlignment="1">
      <alignment horizontal="center" vertical="center"/>
    </xf>
    <xf numFmtId="0" fontId="4" fillId="6" borderId="75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 vertical="center" wrapText="1"/>
    </xf>
    <xf numFmtId="0" fontId="3" fillId="6" borderId="60" xfId="0" applyFont="1" applyFill="1" applyBorder="1" applyAlignment="1">
      <alignment horizontal="center" vertical="center" wrapText="1"/>
    </xf>
    <xf numFmtId="0" fontId="3" fillId="6" borderId="68" xfId="0" applyFont="1" applyFill="1" applyBorder="1" applyAlignment="1">
      <alignment horizontal="center" vertical="center" wrapText="1"/>
    </xf>
    <xf numFmtId="176" fontId="10" fillId="6" borderId="19" xfId="0" applyNumberFormat="1" applyFont="1" applyFill="1" applyBorder="1" applyAlignment="1">
      <alignment horizontal="center" vertical="center" wrapText="1"/>
    </xf>
    <xf numFmtId="176" fontId="10" fillId="6" borderId="27" xfId="0" applyNumberFormat="1" applyFont="1" applyFill="1" applyBorder="1" applyAlignment="1">
      <alignment horizontal="center" vertical="center"/>
    </xf>
    <xf numFmtId="174" fontId="5" fillId="6" borderId="12" xfId="0" applyNumberFormat="1" applyFont="1" applyFill="1" applyBorder="1" applyAlignment="1">
      <alignment horizontal="center" vertical="center" wrapText="1"/>
    </xf>
    <xf numFmtId="174" fontId="5" fillId="6" borderId="28" xfId="0" applyNumberFormat="1" applyFont="1" applyFill="1" applyBorder="1" applyAlignment="1">
      <alignment horizontal="center" vertical="center" wrapText="1"/>
    </xf>
    <xf numFmtId="174" fontId="5" fillId="6" borderId="23" xfId="0" applyNumberFormat="1" applyFont="1" applyFill="1" applyBorder="1" applyAlignment="1">
      <alignment horizontal="center" vertical="center" wrapText="1"/>
    </xf>
    <xf numFmtId="174" fontId="5" fillId="6" borderId="29" xfId="0" applyNumberFormat="1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74" xfId="0" applyFont="1" applyFill="1" applyBorder="1" applyAlignment="1">
      <alignment horizontal="center" vertical="center" wrapText="1"/>
    </xf>
    <xf numFmtId="0" fontId="3" fillId="6" borderId="75" xfId="0" applyFont="1" applyFill="1" applyBorder="1" applyAlignment="1">
      <alignment horizontal="center" vertical="center" wrapText="1"/>
    </xf>
    <xf numFmtId="176" fontId="3" fillId="6" borderId="34" xfId="0" applyNumberFormat="1" applyFont="1" applyFill="1" applyBorder="1" applyAlignment="1">
      <alignment horizontal="center" vertical="center"/>
    </xf>
    <xf numFmtId="176" fontId="3" fillId="6" borderId="52" xfId="0" applyNumberFormat="1" applyFont="1" applyFill="1" applyBorder="1" applyAlignment="1">
      <alignment horizontal="center" vertical="center"/>
    </xf>
    <xf numFmtId="176" fontId="3" fillId="6" borderId="48" xfId="0" applyNumberFormat="1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 wrapText="1"/>
    </xf>
    <xf numFmtId="0" fontId="0" fillId="6" borderId="38" xfId="0" applyFill="1" applyBorder="1"/>
    <xf numFmtId="0" fontId="3" fillId="6" borderId="13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73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6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4" fillId="0" borderId="80" xfId="0" applyFont="1" applyBorder="1" applyAlignment="1">
      <alignment horizontal="center"/>
    </xf>
    <xf numFmtId="4" fontId="3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77" fontId="4" fillId="6" borderId="8" xfId="0" applyNumberFormat="1" applyFont="1" applyFill="1" applyBorder="1" applyAlignment="1">
      <alignment horizontal="center" vertical="center"/>
    </xf>
    <xf numFmtId="177" fontId="4" fillId="6" borderId="7" xfId="0" applyNumberFormat="1" applyFont="1" applyFill="1" applyBorder="1" applyAlignment="1">
      <alignment horizontal="center" vertical="center"/>
    </xf>
    <xf numFmtId="177" fontId="4" fillId="6" borderId="1" xfId="0" applyNumberFormat="1" applyFont="1" applyFill="1" applyBorder="1" applyAlignment="1">
      <alignment horizontal="center" vertical="center"/>
    </xf>
    <xf numFmtId="177" fontId="4" fillId="6" borderId="8" xfId="0" applyNumberFormat="1" applyFont="1" applyFill="1" applyBorder="1" applyAlignment="1">
      <alignment horizontal="center" vertical="center" wrapText="1"/>
    </xf>
    <xf numFmtId="177" fontId="4" fillId="6" borderId="7" xfId="0" applyNumberFormat="1" applyFont="1" applyFill="1" applyBorder="1" applyAlignment="1">
      <alignment horizontal="center" vertical="center" wrapText="1"/>
    </xf>
    <xf numFmtId="177" fontId="4" fillId="6" borderId="1" xfId="0" applyNumberFormat="1" applyFont="1" applyFill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6" borderId="73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/>
    </xf>
    <xf numFmtId="0" fontId="4" fillId="6" borderId="73" xfId="0" applyFont="1" applyFill="1" applyBorder="1" applyAlignment="1" applyProtection="1">
      <alignment horizontal="left" vertical="center"/>
    </xf>
    <xf numFmtId="0" fontId="4" fillId="6" borderId="69" xfId="0" applyFont="1" applyFill="1" applyBorder="1" applyAlignment="1" applyProtection="1">
      <alignment horizontal="left" vertical="center"/>
    </xf>
    <xf numFmtId="0" fontId="4" fillId="6" borderId="70" xfId="0" applyFont="1" applyFill="1" applyBorder="1" applyAlignment="1" applyProtection="1">
      <alignment horizontal="left" vertical="center"/>
    </xf>
    <xf numFmtId="169" fontId="4" fillId="6" borderId="73" xfId="0" applyNumberFormat="1" applyFont="1" applyFill="1" applyBorder="1" applyAlignment="1" applyProtection="1">
      <alignment horizontal="left" vertical="center"/>
    </xf>
    <xf numFmtId="169" fontId="4" fillId="6" borderId="69" xfId="0" applyNumberFormat="1" applyFont="1" applyFill="1" applyBorder="1" applyAlignment="1" applyProtection="1">
      <alignment horizontal="left" vertical="center"/>
    </xf>
    <xf numFmtId="169" fontId="4" fillId="6" borderId="70" xfId="0" applyNumberFormat="1" applyFont="1" applyFill="1" applyBorder="1" applyAlignment="1" applyProtection="1">
      <alignment horizontal="left" vertical="center"/>
    </xf>
    <xf numFmtId="0" fontId="6" fillId="6" borderId="73" xfId="0" applyFont="1" applyFill="1" applyBorder="1" applyAlignment="1" applyProtection="1">
      <alignment horizontal="left" vertical="center"/>
    </xf>
    <xf numFmtId="0" fontId="6" fillId="6" borderId="69" xfId="0" applyFont="1" applyFill="1" applyBorder="1" applyAlignment="1" applyProtection="1">
      <alignment horizontal="left" vertical="center"/>
    </xf>
    <xf numFmtId="0" fontId="6" fillId="6" borderId="70" xfId="0" applyFont="1" applyFill="1" applyBorder="1" applyAlignment="1" applyProtection="1">
      <alignment horizontal="left" vertical="center"/>
    </xf>
    <xf numFmtId="169" fontId="6" fillId="6" borderId="73" xfId="0" applyNumberFormat="1" applyFont="1" applyFill="1" applyBorder="1" applyAlignment="1" applyProtection="1">
      <alignment horizontal="left" vertical="center"/>
    </xf>
    <xf numFmtId="169" fontId="6" fillId="6" borderId="69" xfId="0" applyNumberFormat="1" applyFont="1" applyFill="1" applyBorder="1" applyAlignment="1" applyProtection="1">
      <alignment horizontal="left" vertical="center"/>
    </xf>
    <xf numFmtId="169" fontId="6" fillId="6" borderId="7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165" fontId="7" fillId="8" borderId="32" xfId="0" applyNumberFormat="1" applyFont="1" applyFill="1" applyBorder="1" applyAlignment="1">
      <alignment horizontal="center" vertical="center"/>
    </xf>
    <xf numFmtId="0" fontId="6" fillId="5" borderId="65" xfId="0" applyFont="1" applyFill="1" applyBorder="1" applyAlignment="1" applyProtection="1">
      <alignment horizontal="center" vertical="center"/>
    </xf>
    <xf numFmtId="173" fontId="6" fillId="0" borderId="10" xfId="0" applyNumberFormat="1" applyFont="1" applyFill="1" applyBorder="1" applyAlignment="1" applyProtection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165" fontId="6" fillId="9" borderId="11" xfId="0" applyNumberFormat="1" applyFont="1" applyFill="1" applyBorder="1" applyAlignment="1">
      <alignment horizontal="center" vertical="center"/>
    </xf>
    <xf numFmtId="165" fontId="7" fillId="8" borderId="11" xfId="0" applyNumberFormat="1" applyFont="1" applyFill="1" applyBorder="1" applyAlignment="1">
      <alignment horizontal="center" vertical="center"/>
    </xf>
    <xf numFmtId="165" fontId="7" fillId="8" borderId="4" xfId="0" applyNumberFormat="1" applyFont="1" applyFill="1" applyBorder="1" applyAlignment="1">
      <alignment horizontal="center" vertical="center"/>
    </xf>
    <xf numFmtId="170" fontId="7" fillId="0" borderId="49" xfId="0" applyNumberFormat="1" applyFont="1" applyFill="1" applyBorder="1" applyAlignment="1" applyProtection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174" fontId="8" fillId="0" borderId="63" xfId="0" applyNumberFormat="1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</cellXfs>
  <cellStyles count="4">
    <cellStyle name="Euro" xfId="1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FFFF99"/>
      <color rgb="FF99CCFF"/>
      <color rgb="FF2E13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4757929883137"/>
          <c:y val="0.10189944815532659"/>
          <c:w val="0.8464106844741236"/>
          <c:h val="0.63905270621778509"/>
        </c:manualLayout>
      </c:layout>
      <c:lineChart>
        <c:grouping val="standard"/>
        <c:varyColors val="0"/>
        <c:ser>
          <c:idx val="0"/>
          <c:order val="0"/>
          <c:tx>
            <c:strRef>
              <c:f>'G-MM-1 PreProEneMerOca,99-21'!$L$22</c:f>
              <c:strCache>
                <c:ptCount val="1"/>
                <c:pt idx="0">
                  <c:v>2016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'G-MM-1 PreProEneMerOca,99-21'!$M$4:$X$4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'G-MM-1 PreProEneMerOca,99-21'!$M$22:$X$22</c:f>
              <c:numCache>
                <c:formatCode>#,##0.00</c:formatCode>
                <c:ptCount val="12"/>
                <c:pt idx="0">
                  <c:v>94.72</c:v>
                </c:pt>
                <c:pt idx="1">
                  <c:v>43.24</c:v>
                </c:pt>
                <c:pt idx="2">
                  <c:v>57.8</c:v>
                </c:pt>
                <c:pt idx="3">
                  <c:v>67.709999999999994</c:v>
                </c:pt>
                <c:pt idx="4">
                  <c:v>74.069999999999993</c:v>
                </c:pt>
                <c:pt idx="5">
                  <c:v>60.17</c:v>
                </c:pt>
                <c:pt idx="6">
                  <c:v>58.53</c:v>
                </c:pt>
                <c:pt idx="7">
                  <c:v>61.07</c:v>
                </c:pt>
                <c:pt idx="8">
                  <c:v>63.89</c:v>
                </c:pt>
                <c:pt idx="9">
                  <c:v>65.03</c:v>
                </c:pt>
                <c:pt idx="10">
                  <c:v>50.58</c:v>
                </c:pt>
                <c:pt idx="11">
                  <c:v>27.85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22-4F88-8F82-547B1981F092}"/>
            </c:ext>
          </c:extLst>
        </c:ser>
        <c:ser>
          <c:idx val="1"/>
          <c:order val="1"/>
          <c:tx>
            <c:strRef>
              <c:f>'G-MM-1 PreProEneMerOca,99-21'!$L$23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cat>
            <c:strRef>
              <c:f>'G-MM-1 PreProEneMerOca,99-21'!$M$4:$X$4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'G-MM-1 PreProEneMerOca,99-21'!$M$23:$X$23</c:f>
              <c:numCache>
                <c:formatCode>#,##0.00</c:formatCode>
                <c:ptCount val="12"/>
                <c:pt idx="0">
                  <c:v>59.05</c:v>
                </c:pt>
                <c:pt idx="1">
                  <c:v>87.14</c:v>
                </c:pt>
                <c:pt idx="2">
                  <c:v>87.62</c:v>
                </c:pt>
                <c:pt idx="3">
                  <c:v>90.52</c:v>
                </c:pt>
                <c:pt idx="4">
                  <c:v>59.04</c:v>
                </c:pt>
                <c:pt idx="5">
                  <c:v>44.17</c:v>
                </c:pt>
                <c:pt idx="6">
                  <c:v>34.700000000000003</c:v>
                </c:pt>
                <c:pt idx="7">
                  <c:v>44.5</c:v>
                </c:pt>
                <c:pt idx="8">
                  <c:v>32.11</c:v>
                </c:pt>
                <c:pt idx="9">
                  <c:v>43.29</c:v>
                </c:pt>
                <c:pt idx="10">
                  <c:v>76.11</c:v>
                </c:pt>
                <c:pt idx="11">
                  <c:v>43.88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22-4F88-8F82-547B1981F092}"/>
            </c:ext>
          </c:extLst>
        </c:ser>
        <c:ser>
          <c:idx val="2"/>
          <c:order val="2"/>
          <c:tx>
            <c:strRef>
              <c:f>'G-MM-1 PreProEneMerOca,99-21'!$L$24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'G-MM-1 PreProEneMerOca,99-21'!$M$4:$X$4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'G-MM-1 PreProEneMerOca,99-21'!$M$24:$X$24</c:f>
              <c:numCache>
                <c:formatCode>#,##0.00</c:formatCode>
                <c:ptCount val="12"/>
                <c:pt idx="0">
                  <c:v>27.74</c:v>
                </c:pt>
                <c:pt idx="1">
                  <c:v>91.1</c:v>
                </c:pt>
                <c:pt idx="2">
                  <c:v>93.37</c:v>
                </c:pt>
                <c:pt idx="3">
                  <c:v>97.71</c:v>
                </c:pt>
                <c:pt idx="4">
                  <c:v>105.47</c:v>
                </c:pt>
                <c:pt idx="5">
                  <c:v>90.57</c:v>
                </c:pt>
                <c:pt idx="6">
                  <c:v>75.48</c:v>
                </c:pt>
                <c:pt idx="7">
                  <c:v>81.42</c:v>
                </c:pt>
                <c:pt idx="8">
                  <c:v>63.4</c:v>
                </c:pt>
                <c:pt idx="9">
                  <c:v>48.06</c:v>
                </c:pt>
                <c:pt idx="10">
                  <c:v>63.4</c:v>
                </c:pt>
                <c:pt idx="11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422-4F88-8F82-547B1981F092}"/>
            </c:ext>
          </c:extLst>
        </c:ser>
        <c:ser>
          <c:idx val="3"/>
          <c:order val="3"/>
          <c:tx>
            <c:strRef>
              <c:f>'G-MM-1 PreProEneMerOca,99-21'!$L$25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'G-MM-1 PreProEneMerOca,99-21'!$M$4:$X$4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'G-MM-1 PreProEneMerOca,99-21'!$M$25:$X$25</c:f>
              <c:numCache>
                <c:formatCode>#,##0.00</c:formatCode>
                <c:ptCount val="12"/>
                <c:pt idx="0">
                  <c:v>97.17</c:v>
                </c:pt>
                <c:pt idx="1">
                  <c:v>108.39</c:v>
                </c:pt>
                <c:pt idx="2">
                  <c:v>111.57</c:v>
                </c:pt>
                <c:pt idx="3">
                  <c:v>118.56</c:v>
                </c:pt>
                <c:pt idx="4">
                  <c:v>108.2</c:v>
                </c:pt>
                <c:pt idx="5">
                  <c:v>81.010000000000005</c:v>
                </c:pt>
                <c:pt idx="6">
                  <c:v>81.45</c:v>
                </c:pt>
                <c:pt idx="7">
                  <c:v>89.31</c:v>
                </c:pt>
                <c:pt idx="8">
                  <c:v>86.73</c:v>
                </c:pt>
                <c:pt idx="9">
                  <c:v>66.03</c:v>
                </c:pt>
                <c:pt idx="10">
                  <c:v>68.150000000000006</c:v>
                </c:pt>
                <c:pt idx="11">
                  <c:v>86.25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2A-4CA3-AF35-57A4848D238E}"/>
            </c:ext>
          </c:extLst>
        </c:ser>
        <c:ser>
          <c:idx val="4"/>
          <c:order val="4"/>
          <c:tx>
            <c:strRef>
              <c:f>'G-MM-1 PreProEneMerOca,99-21'!$L$26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val>
            <c:numRef>
              <c:f>'G-MM-1 PreProEneMerOca,99-21'!$M$26:$X$26</c:f>
              <c:numCache>
                <c:formatCode>#,##0.00</c:formatCode>
                <c:ptCount val="12"/>
                <c:pt idx="0">
                  <c:v>70.22</c:v>
                </c:pt>
                <c:pt idx="1">
                  <c:v>64.75</c:v>
                </c:pt>
                <c:pt idx="2">
                  <c:v>62.87</c:v>
                </c:pt>
                <c:pt idx="3">
                  <c:v>44.75</c:v>
                </c:pt>
                <c:pt idx="4">
                  <c:v>43.22</c:v>
                </c:pt>
                <c:pt idx="5">
                  <c:v>41.225000000000001</c:v>
                </c:pt>
                <c:pt idx="6">
                  <c:v>39.93</c:v>
                </c:pt>
                <c:pt idx="7">
                  <c:v>43.42</c:v>
                </c:pt>
                <c:pt idx="8">
                  <c:v>41.6</c:v>
                </c:pt>
                <c:pt idx="9">
                  <c:v>43.16</c:v>
                </c:pt>
                <c:pt idx="10">
                  <c:v>24.46</c:v>
                </c:pt>
                <c:pt idx="11">
                  <c:v>43.99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2A-4CA3-AF35-57A4848D238E}"/>
            </c:ext>
          </c:extLst>
        </c:ser>
        <c:ser>
          <c:idx val="5"/>
          <c:order val="5"/>
          <c:tx>
            <c:strRef>
              <c:f>'G-MM-1 PreProEneMerOca,99-21'!$L$27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'G-MM-1 PreProEneMerOca,99-21'!$M$27:$X$27</c:f>
              <c:numCache>
                <c:formatCode>#,##0.00</c:formatCode>
                <c:ptCount val="12"/>
                <c:pt idx="0">
                  <c:v>60.47</c:v>
                </c:pt>
                <c:pt idx="1">
                  <c:v>66.23</c:v>
                </c:pt>
                <c:pt idx="2">
                  <c:v>85.78</c:v>
                </c:pt>
                <c:pt idx="3">
                  <c:v>64.180000000000007</c:v>
                </c:pt>
                <c:pt idx="4">
                  <c:v>54.9</c:v>
                </c:pt>
                <c:pt idx="5">
                  <c:v>69.31</c:v>
                </c:pt>
                <c:pt idx="6">
                  <c:v>64.78</c:v>
                </c:pt>
                <c:pt idx="7">
                  <c:v>56.16</c:v>
                </c:pt>
                <c:pt idx="8">
                  <c:v>54.44</c:v>
                </c:pt>
                <c:pt idx="9">
                  <c:v>68.86</c:v>
                </c:pt>
                <c:pt idx="10">
                  <c:v>86.72</c:v>
                </c:pt>
                <c:pt idx="11">
                  <c:v>129.11000000000001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932416"/>
        <c:axId val="278932808"/>
      </c:lineChart>
      <c:catAx>
        <c:axId val="27893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32808"/>
        <c:crossesAt val="30"/>
        <c:auto val="1"/>
        <c:lblAlgn val="ctr"/>
        <c:lblOffset val="100"/>
        <c:tickMarkSkip val="1"/>
        <c:noMultiLvlLbl val="0"/>
      </c:catAx>
      <c:valAx>
        <c:axId val="278932808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B/./MWh</a:t>
                </a:r>
              </a:p>
            </c:rich>
          </c:tx>
          <c:layout>
            <c:manualLayout>
              <c:xMode val="edge"/>
              <c:yMode val="edge"/>
              <c:x val="1.5025117409285263E-2"/>
              <c:y val="0.264706238643246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9933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32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89" r="0.75000000000000289" t="1" header="0" footer="0"/>
    <c:pageSetup orientation="landscape" horizontalDpi="360" verticalDpi="36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INTERCAMBIO DE ENERGÍA CON CENTROAMÉRICA  2011 - 2012
</a:t>
            </a:r>
          </a:p>
        </c:rich>
      </c:tx>
      <c:layout>
        <c:manualLayout>
          <c:xMode val="edge"/>
          <c:yMode val="edge"/>
          <c:x val="0.16805338112698004"/>
          <c:y val="3.1100514798560387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3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297854241835093"/>
          <c:y val="0.11722501731765082"/>
          <c:w val="0.77038332140387977"/>
          <c:h val="0.622010295971207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'G-MM-3 IntEneCenAme,99-21'!$AS$6:$AS$7</c:f>
              <c:strCache>
                <c:ptCount val="2"/>
                <c:pt idx="0">
                  <c:v>Entrada
2011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IntEneCenAme,99-21'!$AS$8:$AS$19</c:f>
              <c:numCache>
                <c:formatCode>#,##0.0_ ;[Red]\-#,##0.0\ </c:formatCode>
                <c:ptCount val="12"/>
                <c:pt idx="0">
                  <c:v>2664</c:v>
                </c:pt>
                <c:pt idx="1">
                  <c:v>4974.7299999999996</c:v>
                </c:pt>
                <c:pt idx="2">
                  <c:v>8910.85</c:v>
                </c:pt>
                <c:pt idx="3">
                  <c:v>8304.9500000000007</c:v>
                </c:pt>
                <c:pt idx="4">
                  <c:v>5501.83</c:v>
                </c:pt>
                <c:pt idx="5">
                  <c:v>1581.52</c:v>
                </c:pt>
                <c:pt idx="6">
                  <c:v>10540.74</c:v>
                </c:pt>
                <c:pt idx="7">
                  <c:v>12746.32</c:v>
                </c:pt>
                <c:pt idx="8">
                  <c:v>9689.11</c:v>
                </c:pt>
                <c:pt idx="9">
                  <c:v>5918.8</c:v>
                </c:pt>
                <c:pt idx="10">
                  <c:v>715</c:v>
                </c:pt>
                <c:pt idx="11">
                  <c:v>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74-459C-BDF6-0F490E5846D0}"/>
            </c:ext>
          </c:extLst>
        </c:ser>
        <c:ser>
          <c:idx val="1"/>
          <c:order val="1"/>
          <c:tx>
            <c:strRef>
              <c:f>'G-MM-3 IntEneCenAme,99-21'!$AT$6:$AT$7</c:f>
              <c:strCache>
                <c:ptCount val="2"/>
                <c:pt idx="0">
                  <c:v>Salida
2011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IntEneCenAme,99-21'!$AT$8:$AT$19</c:f>
              <c:numCache>
                <c:formatCode>#,##0.0_ ;[Red]\-#,##0.0\ </c:formatCode>
                <c:ptCount val="12"/>
                <c:pt idx="0">
                  <c:v>-5105.91</c:v>
                </c:pt>
                <c:pt idx="1">
                  <c:v>-1509.6</c:v>
                </c:pt>
                <c:pt idx="2">
                  <c:v>-424</c:v>
                </c:pt>
                <c:pt idx="3">
                  <c:v>-273</c:v>
                </c:pt>
                <c:pt idx="4">
                  <c:v>-40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-80</c:v>
                </c:pt>
                <c:pt idx="11">
                  <c:v>-701.9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74-459C-BDF6-0F490E5846D0}"/>
            </c:ext>
          </c:extLst>
        </c:ser>
        <c:ser>
          <c:idx val="2"/>
          <c:order val="2"/>
          <c:tx>
            <c:strRef>
              <c:f>'G-MM-3 IntEneCenAme,99-21'!$AU$6:$AU$7</c:f>
              <c:strCache>
                <c:ptCount val="2"/>
                <c:pt idx="0">
                  <c:v>Entrada
2012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IntEneCenAme,99-21'!$AU$8:$AU$19</c:f>
              <c:numCache>
                <c:formatCode>#,##0.0_ ;[Red]\-#,##0.0\ </c:formatCode>
                <c:ptCount val="12"/>
                <c:pt idx="0">
                  <c:v>3065.09</c:v>
                </c:pt>
                <c:pt idx="1">
                  <c:v>4301.49</c:v>
                </c:pt>
                <c:pt idx="2">
                  <c:v>174.83</c:v>
                </c:pt>
                <c:pt idx="3">
                  <c:v>49.3</c:v>
                </c:pt>
                <c:pt idx="4">
                  <c:v>0</c:v>
                </c:pt>
                <c:pt idx="5">
                  <c:v>35</c:v>
                </c:pt>
                <c:pt idx="6">
                  <c:v>2298.84</c:v>
                </c:pt>
                <c:pt idx="7">
                  <c:v>0</c:v>
                </c:pt>
                <c:pt idx="8">
                  <c:v>1642.48</c:v>
                </c:pt>
                <c:pt idx="9">
                  <c:v>3576.44</c:v>
                </c:pt>
                <c:pt idx="10">
                  <c:v>1718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74-459C-BDF6-0F490E5846D0}"/>
            </c:ext>
          </c:extLst>
        </c:ser>
        <c:ser>
          <c:idx val="3"/>
          <c:order val="3"/>
          <c:tx>
            <c:strRef>
              <c:f>'G-MM-3 IntEneCenAme,99-21'!$AV$6:$AV$7</c:f>
              <c:strCache>
                <c:ptCount val="2"/>
                <c:pt idx="0">
                  <c:v>Salida
2012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IntEneCenAme,99-21'!$AV$8:$AV$19</c:f>
              <c:numCache>
                <c:formatCode>#,##0.0_ ;[Red]\-#,##0.0\ </c:formatCode>
                <c:ptCount val="12"/>
                <c:pt idx="0">
                  <c:v>-2621.02</c:v>
                </c:pt>
                <c:pt idx="1">
                  <c:v>0</c:v>
                </c:pt>
                <c:pt idx="2">
                  <c:v>-678.49</c:v>
                </c:pt>
                <c:pt idx="3">
                  <c:v>-1855.86</c:v>
                </c:pt>
                <c:pt idx="4">
                  <c:v>-865.81</c:v>
                </c:pt>
                <c:pt idx="5">
                  <c:v>-525</c:v>
                </c:pt>
                <c:pt idx="6">
                  <c:v>-122.88</c:v>
                </c:pt>
                <c:pt idx="7">
                  <c:v>-1818.74</c:v>
                </c:pt>
                <c:pt idx="8">
                  <c:v>-4425</c:v>
                </c:pt>
                <c:pt idx="9">
                  <c:v>-6694.78</c:v>
                </c:pt>
                <c:pt idx="10">
                  <c:v>-11865.35</c:v>
                </c:pt>
                <c:pt idx="11">
                  <c:v>-27515.31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374-459C-BDF6-0F490E584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75280"/>
        <c:axId val="33974104"/>
        <c:axId val="0"/>
      </c:bar3DChart>
      <c:catAx>
        <c:axId val="3397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222293552740185"/>
              <c:y val="0.839167639930176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9741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974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1.5000021835872845E-2"/>
              <c:y val="0.152500219769179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975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5600956089587"/>
          <c:y val="0.90430727645044817"/>
          <c:w val="0.72545816011250785"/>
          <c:h val="7.6555113350302489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11" r="0.75000000000000111" t="1" header="0" footer="0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INTERCAMBIO DE ENERGÍA CON CENTROAMÉRICA  2013 - 2014 
</a:t>
            </a:r>
          </a:p>
        </c:rich>
      </c:tx>
      <c:layout>
        <c:manualLayout>
          <c:xMode val="edge"/>
          <c:yMode val="edge"/>
          <c:x val="0.16666700931313089"/>
          <c:y val="5.2661449072898145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3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666700303874189"/>
          <c:y val="0.11000013427750767"/>
          <c:w val="0.77833460015397182"/>
          <c:h val="0.602500735474530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'G-MM-3 IntEneCenAme,99-21'!$AW$6:$AW$7</c:f>
              <c:strCache>
                <c:ptCount val="2"/>
                <c:pt idx="0">
                  <c:v>Entrada
2013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IntEneCenAme,99-21'!$AW$8:$AW$19</c:f>
              <c:numCache>
                <c:formatCode>#,##0.0_ ;[Red]\-#,##0.0\ </c:formatCode>
                <c:ptCount val="12"/>
                <c:pt idx="0">
                  <c:v>3563.84</c:v>
                </c:pt>
                <c:pt idx="1">
                  <c:v>27697.94</c:v>
                </c:pt>
                <c:pt idx="2">
                  <c:v>6865.92</c:v>
                </c:pt>
                <c:pt idx="3">
                  <c:v>6600.08</c:v>
                </c:pt>
                <c:pt idx="4">
                  <c:v>22648.68</c:v>
                </c:pt>
                <c:pt idx="5">
                  <c:v>383.98</c:v>
                </c:pt>
                <c:pt idx="6">
                  <c:v>0</c:v>
                </c:pt>
                <c:pt idx="7">
                  <c:v>0</c:v>
                </c:pt>
                <c:pt idx="8">
                  <c:v>266.60000000000002</c:v>
                </c:pt>
                <c:pt idx="9">
                  <c:v>0</c:v>
                </c:pt>
                <c:pt idx="10">
                  <c:v>0</c:v>
                </c:pt>
                <c:pt idx="11">
                  <c:v>7323.86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32-489B-B9CF-FADE70ACEA33}"/>
            </c:ext>
          </c:extLst>
        </c:ser>
        <c:ser>
          <c:idx val="1"/>
          <c:order val="1"/>
          <c:tx>
            <c:strRef>
              <c:f>'G-MM-3 IntEneCenAme,99-21'!$AX$6:$AX$7</c:f>
              <c:strCache>
                <c:ptCount val="2"/>
                <c:pt idx="0">
                  <c:v>Salida
2013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IntEneCenAme,99-21'!$AX$8:$AX$19</c:f>
              <c:numCache>
                <c:formatCode>#,##0.0_ ;[Red]\-#,##0.0\ </c:formatCode>
                <c:ptCount val="12"/>
                <c:pt idx="0">
                  <c:v>-5335.64</c:v>
                </c:pt>
                <c:pt idx="1">
                  <c:v>-25687.43</c:v>
                </c:pt>
                <c:pt idx="2">
                  <c:v>-4705</c:v>
                </c:pt>
                <c:pt idx="3">
                  <c:v>-12749.68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-15539.5</c:v>
                </c:pt>
                <c:pt idx="10">
                  <c:v>-7204.53</c:v>
                </c:pt>
                <c:pt idx="11">
                  <c:v>-191.25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32-489B-B9CF-FADE70ACEA33}"/>
            </c:ext>
          </c:extLst>
        </c:ser>
        <c:ser>
          <c:idx val="2"/>
          <c:order val="2"/>
          <c:tx>
            <c:strRef>
              <c:f>'G-MM-3 IntEneCenAme,99-21'!$AY$6:$AY$7</c:f>
              <c:strCache>
                <c:ptCount val="2"/>
                <c:pt idx="0">
                  <c:v>Entrada
2014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IntEneCenAme,99-21'!$AY$8:$AY$19</c:f>
              <c:numCache>
                <c:formatCode>#,##0.0_ ;[Red]\-#,##0.0\ </c:formatCode>
                <c:ptCount val="12"/>
                <c:pt idx="0">
                  <c:v>19980.310000000001</c:v>
                </c:pt>
                <c:pt idx="1">
                  <c:v>30538.87</c:v>
                </c:pt>
                <c:pt idx="2">
                  <c:v>24484.59</c:v>
                </c:pt>
                <c:pt idx="3">
                  <c:v>23980.17</c:v>
                </c:pt>
                <c:pt idx="4">
                  <c:v>49868.97</c:v>
                </c:pt>
                <c:pt idx="5">
                  <c:v>30830.93</c:v>
                </c:pt>
                <c:pt idx="6">
                  <c:v>2204.38</c:v>
                </c:pt>
                <c:pt idx="7">
                  <c:v>10969.62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32-489B-B9CF-FADE70ACEA33}"/>
            </c:ext>
          </c:extLst>
        </c:ser>
        <c:ser>
          <c:idx val="3"/>
          <c:order val="3"/>
          <c:tx>
            <c:strRef>
              <c:f>'G-MM-3 IntEneCenAme,99-21'!$AZ$6:$AZ$7</c:f>
              <c:strCache>
                <c:ptCount val="2"/>
                <c:pt idx="0">
                  <c:v>Salida
2014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IntEneCenAme,99-21'!$AZ$8:$AZ$19</c:f>
              <c:numCache>
                <c:formatCode>#,##0.0_ ;[Red]\-#,##0.0\ </c:formatCode>
                <c:ptCount val="12"/>
                <c:pt idx="7">
                  <c:v>-271.02</c:v>
                </c:pt>
                <c:pt idx="8">
                  <c:v>-4352.7700000000004</c:v>
                </c:pt>
                <c:pt idx="9">
                  <c:v>-40477.07</c:v>
                </c:pt>
                <c:pt idx="10">
                  <c:v>-43846.22</c:v>
                </c:pt>
                <c:pt idx="11">
                  <c:v>-9600.67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32-489B-B9CF-FADE70ACE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8377488"/>
        <c:axId val="491420448"/>
        <c:axId val="0"/>
      </c:bar3DChart>
      <c:catAx>
        <c:axId val="53837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22229221347331"/>
              <c:y val="0.839167716535432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9142044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420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2575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83774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333355034757544"/>
          <c:y val="0.88500108032358438"/>
          <c:w val="0.72666784939428608"/>
          <c:h val="8.0000097656369215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89" r="0.75000000000000289" t="1" header="0" footer="0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INTERCAMBIO DE ENERGÍA CON CENTROAMÉRICA  2015 - 2016  
</a:t>
            </a:r>
          </a:p>
        </c:rich>
      </c:tx>
      <c:layout>
        <c:manualLayout>
          <c:xMode val="edge"/>
          <c:yMode val="edge"/>
          <c:x val="0.20198691825567042"/>
          <c:y val="3.2745632214302843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3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860944016569247"/>
          <c:y val="0.10831247578577098"/>
          <c:w val="0.78311321586009919"/>
          <c:h val="0.61461032771460722"/>
        </c:manualLayout>
      </c:layout>
      <c:bar3DChart>
        <c:barDir val="col"/>
        <c:grouping val="clustered"/>
        <c:varyColors val="0"/>
        <c:ser>
          <c:idx val="4"/>
          <c:order val="0"/>
          <c:tx>
            <c:strRef>
              <c:f>'G-MM-3 IntEneCenAme,99-21'!$BA$6:$BA$7</c:f>
              <c:strCache>
                <c:ptCount val="2"/>
                <c:pt idx="0">
                  <c:v>Entrada
2015</c:v>
                </c:pt>
              </c:strCache>
            </c:strRef>
          </c:tx>
          <c:spPr>
            <a:solidFill>
              <a:srgbClr val="2E13F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IntEneCenAme,99-21'!$BA$8:$BA$19</c:f>
              <c:numCache>
                <c:formatCode>#,##0.0_ ;[Red]\-#,##0.0\ </c:formatCode>
                <c:ptCount val="12"/>
                <c:pt idx="0">
                  <c:v>434</c:v>
                </c:pt>
                <c:pt idx="1">
                  <c:v>5800.2</c:v>
                </c:pt>
                <c:pt idx="2">
                  <c:v>5074.91</c:v>
                </c:pt>
                <c:pt idx="3">
                  <c:v>0</c:v>
                </c:pt>
                <c:pt idx="4">
                  <c:v>2774</c:v>
                </c:pt>
                <c:pt idx="5">
                  <c:v>3012.41</c:v>
                </c:pt>
                <c:pt idx="6">
                  <c:v>13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3-4E9D-B213-CBBEA2276AB1}"/>
            </c:ext>
          </c:extLst>
        </c:ser>
        <c:ser>
          <c:idx val="5"/>
          <c:order val="1"/>
          <c:tx>
            <c:strRef>
              <c:f>'G-MM-3 IntEneCenAme,99-21'!$BB$6:$BB$7</c:f>
              <c:strCache>
                <c:ptCount val="2"/>
                <c:pt idx="0">
                  <c:v>Salida
2015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IntEneCenAme,99-21'!$BB$8:$BB$19</c:f>
              <c:numCache>
                <c:formatCode>#,##0.0_ ;[Red]\-#,##0.0\ </c:formatCode>
                <c:ptCount val="12"/>
                <c:pt idx="0">
                  <c:v>-7730.58</c:v>
                </c:pt>
                <c:pt idx="1">
                  <c:v>-1395.36</c:v>
                </c:pt>
                <c:pt idx="2">
                  <c:v>-3438.77</c:v>
                </c:pt>
                <c:pt idx="3">
                  <c:v>-12467.07</c:v>
                </c:pt>
                <c:pt idx="4">
                  <c:v>-4823.34</c:v>
                </c:pt>
                <c:pt idx="5">
                  <c:v>-8131.94</c:v>
                </c:pt>
                <c:pt idx="6">
                  <c:v>-24449.16</c:v>
                </c:pt>
                <c:pt idx="7">
                  <c:v>-24006.27</c:v>
                </c:pt>
                <c:pt idx="8">
                  <c:v>-33254.129999999997</c:v>
                </c:pt>
                <c:pt idx="9">
                  <c:v>-12676.2</c:v>
                </c:pt>
                <c:pt idx="10">
                  <c:v>-3070.62</c:v>
                </c:pt>
                <c:pt idx="11">
                  <c:v>-3864.81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3-4E9D-B213-CBBEA2276AB1}"/>
            </c:ext>
          </c:extLst>
        </c:ser>
        <c:ser>
          <c:idx val="0"/>
          <c:order val="2"/>
          <c:tx>
            <c:strRef>
              <c:f>'G-MM-3 IntEneCenAme,99-21'!$BC$6:$BC$7</c:f>
              <c:strCache>
                <c:ptCount val="2"/>
                <c:pt idx="0">
                  <c:v>Entrada
2016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'G-MM-3 IntEneCenAme,99-21'!$BC$8:$BC$19</c:f>
              <c:numCache>
                <c:formatCode>#,##0.0_ ;[Red]\-#,##0.0\ </c:formatCode>
                <c:ptCount val="12"/>
                <c:pt idx="0">
                  <c:v>25094.55</c:v>
                </c:pt>
                <c:pt idx="1">
                  <c:v>13.09</c:v>
                </c:pt>
                <c:pt idx="2">
                  <c:v>510</c:v>
                </c:pt>
                <c:pt idx="3">
                  <c:v>60</c:v>
                </c:pt>
                <c:pt idx="4">
                  <c:v>137.53</c:v>
                </c:pt>
                <c:pt idx="5">
                  <c:v>309.77</c:v>
                </c:pt>
                <c:pt idx="6">
                  <c:v>3894.53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3-4E9D-B213-CBBEA2276AB1}"/>
            </c:ext>
          </c:extLst>
        </c:ser>
        <c:ser>
          <c:idx val="1"/>
          <c:order val="3"/>
          <c:tx>
            <c:strRef>
              <c:f>'G-MM-3 IntEneCenAme,99-21'!$BD$6:$BD$7</c:f>
              <c:strCache>
                <c:ptCount val="2"/>
                <c:pt idx="0">
                  <c:v>Salida
2016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val>
            <c:numRef>
              <c:f>'G-MM-3 IntEneCenAme,99-21'!$BD$8:$BD$19</c:f>
              <c:numCache>
                <c:formatCode>#,##0.0_ ;[Red]\-#,##0.0\ </c:formatCode>
                <c:ptCount val="12"/>
                <c:pt idx="0">
                  <c:v>-3822.37</c:v>
                </c:pt>
                <c:pt idx="1">
                  <c:v>-19445.39</c:v>
                </c:pt>
                <c:pt idx="2">
                  <c:v>-27570.41</c:v>
                </c:pt>
                <c:pt idx="3">
                  <c:v>-37186.379999999997</c:v>
                </c:pt>
                <c:pt idx="4">
                  <c:v>-22606.03</c:v>
                </c:pt>
                <c:pt idx="5">
                  <c:v>-41855.449999999997</c:v>
                </c:pt>
                <c:pt idx="6">
                  <c:v>-30388.03</c:v>
                </c:pt>
                <c:pt idx="7">
                  <c:v>-26200.95</c:v>
                </c:pt>
                <c:pt idx="8">
                  <c:v>-44390.55</c:v>
                </c:pt>
                <c:pt idx="9">
                  <c:v>-57181.59</c:v>
                </c:pt>
                <c:pt idx="10">
                  <c:v>-44927.11</c:v>
                </c:pt>
                <c:pt idx="11">
                  <c:v>-42085.97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73-4E9D-B213-CBBEA2276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8864888"/>
        <c:axId val="548865672"/>
        <c:axId val="0"/>
      </c:bar3DChart>
      <c:catAx>
        <c:axId val="548864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22229754393284"/>
              <c:y val="0.83916777405343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88656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48865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1.4999913090333907E-2"/>
              <c:y val="0.15250018180976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8864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21479677206076"/>
          <c:y val="0.90506964966910619"/>
          <c:w val="0.71780920914103297"/>
          <c:h val="7.4779216829634329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INTERCAMBIO DE ENERGÍA CON CENTROAMÉRICA  2017 - 2018  
</a:t>
            </a:r>
          </a:p>
        </c:rich>
      </c:tx>
      <c:layout>
        <c:manualLayout>
          <c:xMode val="edge"/>
          <c:yMode val="edge"/>
          <c:x val="0.20198691825567042"/>
          <c:y val="3.2745632214302843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3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860944016569247"/>
          <c:y val="0.10831247578577098"/>
          <c:w val="0.78311321586009919"/>
          <c:h val="0.64794356955380572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'G-MM-3 IntEneCenAme,99-21'!$BE$6:$BE$7</c:f>
              <c:strCache>
                <c:ptCount val="2"/>
                <c:pt idx="0">
                  <c:v>Entrada
2017</c:v>
                </c:pt>
              </c:strCache>
            </c:strRef>
          </c:tx>
          <c:spPr>
            <a:solidFill>
              <a:srgbClr val="2E13F9"/>
            </a:solidFill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IntEneCenAme,99-21'!$BE$8:$BE$19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1058.5859999999996</c:v>
                </c:pt>
                <c:pt idx="2">
                  <c:v>4763.317</c:v>
                </c:pt>
                <c:pt idx="3">
                  <c:v>731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DC-47B0-8EDC-2281D7771358}"/>
            </c:ext>
          </c:extLst>
        </c:ser>
        <c:ser>
          <c:idx val="3"/>
          <c:order val="1"/>
          <c:tx>
            <c:strRef>
              <c:f>'G-MM-3 IntEneCenAme,99-21'!$BF$6:$BF$7</c:f>
              <c:strCache>
                <c:ptCount val="2"/>
                <c:pt idx="0">
                  <c:v>Salida
2017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IntEneCenAme,99-21'!$BF$8:$BF$19</c:f>
              <c:numCache>
                <c:formatCode>#,##0.0_ ;[Red]\-#,##0.0\ </c:formatCode>
                <c:ptCount val="12"/>
                <c:pt idx="0">
                  <c:v>-18868.173999999999</c:v>
                </c:pt>
                <c:pt idx="1">
                  <c:v>-15410.072</c:v>
                </c:pt>
                <c:pt idx="2">
                  <c:v>-23397.861000000001</c:v>
                </c:pt>
                <c:pt idx="3">
                  <c:v>-14564.17</c:v>
                </c:pt>
                <c:pt idx="4">
                  <c:v>-9500.9410000000207</c:v>
                </c:pt>
                <c:pt idx="5">
                  <c:v>-13245.582</c:v>
                </c:pt>
                <c:pt idx="6">
                  <c:v>-33674.383000000002</c:v>
                </c:pt>
                <c:pt idx="7">
                  <c:v>-38567.773999999998</c:v>
                </c:pt>
                <c:pt idx="8">
                  <c:v>-45701.253999999899</c:v>
                </c:pt>
                <c:pt idx="9">
                  <c:v>-41156.847999999998</c:v>
                </c:pt>
                <c:pt idx="10">
                  <c:v>-37086.987999999998</c:v>
                </c:pt>
                <c:pt idx="11">
                  <c:v>-26449.755000000001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DC-47B0-8EDC-2281D7771358}"/>
            </c:ext>
          </c:extLst>
        </c:ser>
        <c:ser>
          <c:idx val="0"/>
          <c:order val="2"/>
          <c:tx>
            <c:strRef>
              <c:f>'G-MM-3 IntEneCenAme,99-21'!$BG$6:$BG$7</c:f>
              <c:strCache>
                <c:ptCount val="2"/>
                <c:pt idx="0">
                  <c:v>Entrada
2018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'G-MM-3 IntEneCenAme,99-21'!$BG$8:$BG$19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11086.13</c:v>
                </c:pt>
                <c:pt idx="3">
                  <c:v>1551.19</c:v>
                </c:pt>
                <c:pt idx="4">
                  <c:v>609.35</c:v>
                </c:pt>
                <c:pt idx="5">
                  <c:v>0</c:v>
                </c:pt>
                <c:pt idx="6">
                  <c:v>0</c:v>
                </c:pt>
                <c:pt idx="7">
                  <c:v>2.44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DC-47B0-8EDC-2281D7771358}"/>
            </c:ext>
          </c:extLst>
        </c:ser>
        <c:ser>
          <c:idx val="1"/>
          <c:order val="3"/>
          <c:tx>
            <c:strRef>
              <c:f>'G-MM-3 IntEneCenAme,99-21'!$BH$6:$BH$7</c:f>
              <c:strCache>
                <c:ptCount val="2"/>
                <c:pt idx="0">
                  <c:v>Salida
2018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'G-MM-3 IntEneCenAme,99-21'!$BH$8:$BH$19</c:f>
              <c:numCache>
                <c:formatCode>#,##0.0_ ;[Red]\-#,##0.0\ </c:formatCode>
                <c:ptCount val="12"/>
                <c:pt idx="0">
                  <c:v>-29888.73</c:v>
                </c:pt>
                <c:pt idx="1">
                  <c:v>-26173.8</c:v>
                </c:pt>
                <c:pt idx="2">
                  <c:v>-25791.77</c:v>
                </c:pt>
                <c:pt idx="3">
                  <c:v>-35157.17</c:v>
                </c:pt>
                <c:pt idx="4">
                  <c:v>-40237.300000000003</c:v>
                </c:pt>
                <c:pt idx="5">
                  <c:v>-36278.21</c:v>
                </c:pt>
                <c:pt idx="6">
                  <c:v>-21482.720000000001</c:v>
                </c:pt>
                <c:pt idx="7">
                  <c:v>-26013.52</c:v>
                </c:pt>
                <c:pt idx="8">
                  <c:v>-20429.48</c:v>
                </c:pt>
                <c:pt idx="9">
                  <c:v>-25370.5</c:v>
                </c:pt>
                <c:pt idx="10">
                  <c:v>-27117.69</c:v>
                </c:pt>
                <c:pt idx="11">
                  <c:v>-11842.5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1DC-47B0-8EDC-2281D777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6136904"/>
        <c:axId val="546138472"/>
        <c:axId val="0"/>
      </c:bar3DChart>
      <c:catAx>
        <c:axId val="546136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22229754393284"/>
              <c:y val="0.83916777405343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61384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46138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1.4999913090333907E-2"/>
              <c:y val="0.15250018180976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6136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21479677206076"/>
          <c:y val="0.90506964966910619"/>
          <c:w val="0.75962719087317787"/>
          <c:h val="7.4218372703412069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INTERCAMBIO DE ENERGÍA CON CENTROAMÉRICA  2019 - 2020  
</a:t>
            </a:r>
          </a:p>
        </c:rich>
      </c:tx>
      <c:layout>
        <c:manualLayout>
          <c:xMode val="edge"/>
          <c:yMode val="edge"/>
          <c:x val="0.20198691825567042"/>
          <c:y val="3.2745632214302843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3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860944016569247"/>
          <c:y val="0.10831247578577098"/>
          <c:w val="0.78311321586009919"/>
          <c:h val="0.647943569553805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'G-MM-3 IntEneCenAme,99-21'!$BI$6:$BI$7</c:f>
              <c:strCache>
                <c:ptCount val="2"/>
                <c:pt idx="0">
                  <c:v>Entrada
2019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IntEneCenAme,99-21'!$BI$8:$BI$19</c:f>
              <c:numCache>
                <c:formatCode>#,##0.0_ ;[Red]\-#,##0.0\ </c:formatCode>
                <c:ptCount val="12"/>
                <c:pt idx="0">
                  <c:v>3665.4929999999999</c:v>
                </c:pt>
                <c:pt idx="1">
                  <c:v>1548.3889999999999</c:v>
                </c:pt>
                <c:pt idx="2">
                  <c:v>1817.2190000000001</c:v>
                </c:pt>
                <c:pt idx="3">
                  <c:v>5022.3959999999997</c:v>
                </c:pt>
                <c:pt idx="4">
                  <c:v>9590.2599999999984</c:v>
                </c:pt>
                <c:pt idx="5">
                  <c:v>0</c:v>
                </c:pt>
                <c:pt idx="6">
                  <c:v>0</c:v>
                </c:pt>
                <c:pt idx="7">
                  <c:v>10774.772999999997</c:v>
                </c:pt>
                <c:pt idx="8">
                  <c:v>14734.901999999998</c:v>
                </c:pt>
                <c:pt idx="9">
                  <c:v>8001.529000000005</c:v>
                </c:pt>
                <c:pt idx="10">
                  <c:v>15331.252000000002</c:v>
                </c:pt>
                <c:pt idx="11">
                  <c:v>6836.6910000000207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1DC-47B0-8EDC-2281D7771358}"/>
            </c:ext>
          </c:extLst>
        </c:ser>
        <c:ser>
          <c:idx val="1"/>
          <c:order val="1"/>
          <c:tx>
            <c:strRef>
              <c:f>'G-MM-3 IntEneCenAme,99-21'!$BJ$6:$BJ$7</c:f>
              <c:strCache>
                <c:ptCount val="2"/>
                <c:pt idx="0">
                  <c:v>Salida
2019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IntEneCenAme,99-21'!$BJ$8:$BJ$19</c:f>
              <c:numCache>
                <c:formatCode>#,##0.0_ ;[Red]\-#,##0.0\ </c:formatCode>
                <c:ptCount val="12"/>
                <c:pt idx="0">
                  <c:v>-33647.74</c:v>
                </c:pt>
                <c:pt idx="1">
                  <c:v>-56991.586000000003</c:v>
                </c:pt>
                <c:pt idx="2">
                  <c:v>-43700.02</c:v>
                </c:pt>
                <c:pt idx="3">
                  <c:v>-50570.873900000101</c:v>
                </c:pt>
                <c:pt idx="4">
                  <c:v>-28953.954000000002</c:v>
                </c:pt>
                <c:pt idx="5">
                  <c:v>-31925.027999999998</c:v>
                </c:pt>
                <c:pt idx="6">
                  <c:v>-26183.364000000001</c:v>
                </c:pt>
                <c:pt idx="7">
                  <c:v>-25977.988000000001</c:v>
                </c:pt>
                <c:pt idx="8">
                  <c:v>-29086.237000000001</c:v>
                </c:pt>
                <c:pt idx="9">
                  <c:v>-42772.19</c:v>
                </c:pt>
                <c:pt idx="10">
                  <c:v>-38504.940999999999</c:v>
                </c:pt>
                <c:pt idx="11">
                  <c:v>-19030.113000000001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1DC-47B0-8EDC-2281D7771358}"/>
            </c:ext>
          </c:extLst>
        </c:ser>
        <c:ser>
          <c:idx val="2"/>
          <c:order val="2"/>
          <c:tx>
            <c:strRef>
              <c:f>'G-MM-3 IntEneCenAme,99-21'!$BK$6:$BK$7</c:f>
              <c:strCache>
                <c:ptCount val="2"/>
                <c:pt idx="0">
                  <c:v>Entrada
2020</c:v>
                </c:pt>
              </c:strCache>
            </c:strRef>
          </c:tx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IntEneCenAme,99-21'!$BK$8:$BK$19</c:f>
              <c:numCache>
                <c:formatCode>#,##0.0_ ;[Red]\-#,##0.0\ </c:formatCode>
                <c:ptCount val="12"/>
                <c:pt idx="0">
                  <c:v>45086.378000000004</c:v>
                </c:pt>
                <c:pt idx="1">
                  <c:v>10832.31500000001</c:v>
                </c:pt>
                <c:pt idx="2">
                  <c:v>14370.842999999997</c:v>
                </c:pt>
                <c:pt idx="3">
                  <c:v>1378.4109999999996</c:v>
                </c:pt>
                <c:pt idx="4">
                  <c:v>615.43399999999997</c:v>
                </c:pt>
                <c:pt idx="5">
                  <c:v>9894.0560000000041</c:v>
                </c:pt>
                <c:pt idx="6">
                  <c:v>3853.0530000000012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89-4148-A03D-D90D70D47AE2}"/>
            </c:ext>
          </c:extLst>
        </c:ser>
        <c:ser>
          <c:idx val="3"/>
          <c:order val="3"/>
          <c:tx>
            <c:strRef>
              <c:f>'G-MM-3 IntEneCenAme,99-21'!$BL$6:$BL$7</c:f>
              <c:strCache>
                <c:ptCount val="2"/>
                <c:pt idx="0">
                  <c:v>Salida
2020</c:v>
                </c:pt>
              </c:strCache>
            </c:strRef>
          </c:tx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IntEneCenAme,99-21'!$BL$8:$BL$19</c:f>
              <c:numCache>
                <c:formatCode>#,##0.0_ ;[Red]\-#,##0.0\ </c:formatCode>
                <c:ptCount val="12"/>
                <c:pt idx="0">
                  <c:v>-40463.9</c:v>
                </c:pt>
                <c:pt idx="1">
                  <c:v>-50897.5</c:v>
                </c:pt>
                <c:pt idx="2">
                  <c:v>-60614.07</c:v>
                </c:pt>
                <c:pt idx="3">
                  <c:v>-49928.06</c:v>
                </c:pt>
                <c:pt idx="4">
                  <c:v>-59029.83</c:v>
                </c:pt>
                <c:pt idx="5">
                  <c:v>-48508.79</c:v>
                </c:pt>
                <c:pt idx="6">
                  <c:v>-57944.33</c:v>
                </c:pt>
                <c:pt idx="7">
                  <c:v>-53446.9</c:v>
                </c:pt>
                <c:pt idx="8">
                  <c:v>-32580.400000000001</c:v>
                </c:pt>
                <c:pt idx="9">
                  <c:v>-41434.980000000003</c:v>
                </c:pt>
                <c:pt idx="10">
                  <c:v>-43858.33</c:v>
                </c:pt>
                <c:pt idx="11">
                  <c:v>-28036.55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89-4148-A03D-D90D70D47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0375448"/>
        <c:axId val="500376232"/>
        <c:axId val="0"/>
      </c:bar3DChart>
      <c:catAx>
        <c:axId val="50037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22229754393284"/>
              <c:y val="0.83916777405343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37623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500376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1.4999913090333907E-2"/>
              <c:y val="0.15250018180976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375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21479677206076"/>
          <c:y val="0.90506964966910619"/>
          <c:w val="0.33704548073781959"/>
          <c:h val="7.4218372703412069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TARIFAS PROMEDIO SEMESTRALES 1998 - 2010</a:t>
            </a:r>
          </a:p>
        </c:rich>
      </c:tx>
      <c:layout>
        <c:manualLayout>
          <c:xMode val="edge"/>
          <c:yMode val="edge"/>
          <c:x val="0.24540901502504173"/>
          <c:y val="3.2500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489148580968295E-2"/>
          <c:y val="0.11750014343279229"/>
          <c:w val="0.87590428491930994"/>
          <c:h val="0.54333412073490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'G-MM-4 TDisAjuTSemVsTIrhe,98-10'!$O$4:$Q$4</c:f>
              <c:strCache>
                <c:ptCount val="1"/>
                <c:pt idx="0">
                  <c:v>EDEMET</c:v>
                </c:pt>
              </c:strCache>
            </c:strRef>
          </c:tx>
          <c:spPr>
            <a:gradFill rotWithShape="0">
              <a:gsLst>
                <a:gs pos="0">
                  <a:srgbClr val="008080"/>
                </a:gs>
                <a:gs pos="50000">
                  <a:srgbClr val="33CCCC"/>
                </a:gs>
                <a:gs pos="100000">
                  <a:srgbClr val="008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'G-MM-4 TDisAjuTSemVsTIrhe,98-10'!$K$7:$K$31</c:f>
              <c:strCache>
                <c:ptCount val="25"/>
                <c:pt idx="0">
                  <c:v>Antes de Nov 98</c:v>
                </c:pt>
                <c:pt idx="1">
                  <c:v>Dic 98 - Jun 99</c:v>
                </c:pt>
                <c:pt idx="2">
                  <c:v>Jul 99 - Dic 99</c:v>
                </c:pt>
                <c:pt idx="3">
                  <c:v>Ene 00 - Jun 00</c:v>
                </c:pt>
                <c:pt idx="4">
                  <c:v>Jul 00 - Dic 00</c:v>
                </c:pt>
                <c:pt idx="5">
                  <c:v>Ene 01 - Jun 01</c:v>
                </c:pt>
                <c:pt idx="6">
                  <c:v>Jul 01 - Dic 01</c:v>
                </c:pt>
                <c:pt idx="7">
                  <c:v>Ene 02 - Jun 02</c:v>
                </c:pt>
                <c:pt idx="8">
                  <c:v>Jul 02 - Dic 02</c:v>
                </c:pt>
                <c:pt idx="9">
                  <c:v>Ene 03 - Jun 03</c:v>
                </c:pt>
                <c:pt idx="10">
                  <c:v>Jul 03 - Dic 03</c:v>
                </c:pt>
                <c:pt idx="11">
                  <c:v>Ene 04 - Jun 04</c:v>
                </c:pt>
                <c:pt idx="12">
                  <c:v>Jul 04 - Dic 04</c:v>
                </c:pt>
                <c:pt idx="13">
                  <c:v>Ene 05 - Jun 05</c:v>
                </c:pt>
                <c:pt idx="14">
                  <c:v>Jul 05 - Dic 05</c:v>
                </c:pt>
                <c:pt idx="15">
                  <c:v>Ene 06 - Jun 06</c:v>
                </c:pt>
                <c:pt idx="16">
                  <c:v>Jul 06 - Dic 06</c:v>
                </c:pt>
                <c:pt idx="17">
                  <c:v>Ene 07 - Jun 07</c:v>
                </c:pt>
                <c:pt idx="18">
                  <c:v>Jul 07 - Dic 07</c:v>
                </c:pt>
                <c:pt idx="19">
                  <c:v>Ene 08 - Jun 08</c:v>
                </c:pt>
                <c:pt idx="20">
                  <c:v>Jul 08 - Dic 08</c:v>
                </c:pt>
                <c:pt idx="21">
                  <c:v>Ene 09 - Jun 09</c:v>
                </c:pt>
                <c:pt idx="22">
                  <c:v>Jul 09 - Dic 09</c:v>
                </c:pt>
                <c:pt idx="23">
                  <c:v>Ene 10 - Jun 10</c:v>
                </c:pt>
                <c:pt idx="24">
                  <c:v>Jul 10 - Dic 10</c:v>
                </c:pt>
              </c:strCache>
            </c:strRef>
          </c:cat>
          <c:val>
            <c:numRef>
              <c:f>'G-MM-4 TDisAjuTSemVsTIrhe,98-10'!$O$7:$O$31</c:f>
              <c:numCache>
                <c:formatCode>#,##0.00_ ;[Red]\-#,##0.00\ </c:formatCode>
                <c:ptCount val="25"/>
                <c:pt idx="0">
                  <c:v>11.42</c:v>
                </c:pt>
                <c:pt idx="1">
                  <c:v>10.230705970077892</c:v>
                </c:pt>
                <c:pt idx="2">
                  <c:v>10.663664178682705</c:v>
                </c:pt>
                <c:pt idx="3">
                  <c:v>12.100322304443122</c:v>
                </c:pt>
                <c:pt idx="4">
                  <c:v>12.025256150332641</c:v>
                </c:pt>
                <c:pt idx="5">
                  <c:v>12.626214807395469</c:v>
                </c:pt>
                <c:pt idx="6">
                  <c:v>12.22937579399726</c:v>
                </c:pt>
                <c:pt idx="7">
                  <c:v>11.833910455294857</c:v>
                </c:pt>
                <c:pt idx="8">
                  <c:v>12.016932310238003</c:v>
                </c:pt>
                <c:pt idx="9">
                  <c:v>12.568338538687065</c:v>
                </c:pt>
                <c:pt idx="10">
                  <c:v>12.794279219013566</c:v>
                </c:pt>
                <c:pt idx="11">
                  <c:v>12.935789541435764</c:v>
                </c:pt>
                <c:pt idx="12">
                  <c:v>13.025754195135509</c:v>
                </c:pt>
                <c:pt idx="13">
                  <c:v>13.908831437287539</c:v>
                </c:pt>
                <c:pt idx="14">
                  <c:v>13.708973190766937</c:v>
                </c:pt>
                <c:pt idx="15">
                  <c:v>14.849660616600541</c:v>
                </c:pt>
                <c:pt idx="16">
                  <c:v>16.734097446969866</c:v>
                </c:pt>
                <c:pt idx="17">
                  <c:v>16.388539477060096</c:v>
                </c:pt>
                <c:pt idx="18">
                  <c:v>16.740903130225988</c:v>
                </c:pt>
                <c:pt idx="19">
                  <c:v>19.235238907203644</c:v>
                </c:pt>
                <c:pt idx="20">
                  <c:v>23.106584380249622</c:v>
                </c:pt>
                <c:pt idx="21">
                  <c:v>17.733576949905927</c:v>
                </c:pt>
                <c:pt idx="22">
                  <c:v>18.171140953023336</c:v>
                </c:pt>
                <c:pt idx="23">
                  <c:v>17.594278984441313</c:v>
                </c:pt>
                <c:pt idx="24">
                  <c:v>16.771548223976428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6E-4521-BCBA-67C429EA4FBD}"/>
            </c:ext>
          </c:extLst>
        </c:ser>
        <c:ser>
          <c:idx val="1"/>
          <c:order val="1"/>
          <c:tx>
            <c:strRef>
              <c:f>'G-MM-4 TDisAjuTSemVsTIrhe,98-10'!$R$4:$T$4</c:f>
              <c:strCache>
                <c:ptCount val="1"/>
                <c:pt idx="0">
                  <c:v>EDECHI</c:v>
                </c:pt>
              </c:strCache>
            </c:strRef>
          </c:tx>
          <c:spPr>
            <a:gradFill rotWithShape="0">
              <a:gsLst>
                <a:gs pos="0">
                  <a:srgbClr val="FF8080"/>
                </a:gs>
                <a:gs pos="50000">
                  <a:srgbClr val="FF0000"/>
                </a:gs>
                <a:gs pos="100000">
                  <a:srgbClr val="FF8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'G-MM-4 TDisAjuTSemVsTIrhe,98-10'!$K$7:$K$31</c:f>
              <c:strCache>
                <c:ptCount val="25"/>
                <c:pt idx="0">
                  <c:v>Antes de Nov 98</c:v>
                </c:pt>
                <c:pt idx="1">
                  <c:v>Dic 98 - Jun 99</c:v>
                </c:pt>
                <c:pt idx="2">
                  <c:v>Jul 99 - Dic 99</c:v>
                </c:pt>
                <c:pt idx="3">
                  <c:v>Ene 00 - Jun 00</c:v>
                </c:pt>
                <c:pt idx="4">
                  <c:v>Jul 00 - Dic 00</c:v>
                </c:pt>
                <c:pt idx="5">
                  <c:v>Ene 01 - Jun 01</c:v>
                </c:pt>
                <c:pt idx="6">
                  <c:v>Jul 01 - Dic 01</c:v>
                </c:pt>
                <c:pt idx="7">
                  <c:v>Ene 02 - Jun 02</c:v>
                </c:pt>
                <c:pt idx="8">
                  <c:v>Jul 02 - Dic 02</c:v>
                </c:pt>
                <c:pt idx="9">
                  <c:v>Ene 03 - Jun 03</c:v>
                </c:pt>
                <c:pt idx="10">
                  <c:v>Jul 03 - Dic 03</c:v>
                </c:pt>
                <c:pt idx="11">
                  <c:v>Ene 04 - Jun 04</c:v>
                </c:pt>
                <c:pt idx="12">
                  <c:v>Jul 04 - Dic 04</c:v>
                </c:pt>
                <c:pt idx="13">
                  <c:v>Ene 05 - Jun 05</c:v>
                </c:pt>
                <c:pt idx="14">
                  <c:v>Jul 05 - Dic 05</c:v>
                </c:pt>
                <c:pt idx="15">
                  <c:v>Ene 06 - Jun 06</c:v>
                </c:pt>
                <c:pt idx="16">
                  <c:v>Jul 06 - Dic 06</c:v>
                </c:pt>
                <c:pt idx="17">
                  <c:v>Ene 07 - Jun 07</c:v>
                </c:pt>
                <c:pt idx="18">
                  <c:v>Jul 07 - Dic 07</c:v>
                </c:pt>
                <c:pt idx="19">
                  <c:v>Ene 08 - Jun 08</c:v>
                </c:pt>
                <c:pt idx="20">
                  <c:v>Jul 08 - Dic 08</c:v>
                </c:pt>
                <c:pt idx="21">
                  <c:v>Ene 09 - Jun 09</c:v>
                </c:pt>
                <c:pt idx="22">
                  <c:v>Jul 09 - Dic 09</c:v>
                </c:pt>
                <c:pt idx="23">
                  <c:v>Ene 10 - Jun 10</c:v>
                </c:pt>
                <c:pt idx="24">
                  <c:v>Jul 10 - Dic 10</c:v>
                </c:pt>
              </c:strCache>
            </c:strRef>
          </c:cat>
          <c:val>
            <c:numRef>
              <c:f>'G-MM-4 TDisAjuTSemVsTIrhe,98-10'!$R$7:$R$31</c:f>
              <c:numCache>
                <c:formatCode>#,##0.00_ ;[Red]\-#,##0.00\ </c:formatCode>
                <c:ptCount val="25"/>
                <c:pt idx="0">
                  <c:v>11.23</c:v>
                </c:pt>
                <c:pt idx="1">
                  <c:v>10.258882446462795</c:v>
                </c:pt>
                <c:pt idx="2">
                  <c:v>10.302731965926021</c:v>
                </c:pt>
                <c:pt idx="3">
                  <c:v>10.132550916851066</c:v>
                </c:pt>
                <c:pt idx="4">
                  <c:v>9.9800414194512239</c:v>
                </c:pt>
                <c:pt idx="5">
                  <c:v>10.473059081407699</c:v>
                </c:pt>
                <c:pt idx="6">
                  <c:v>10.960357127393564</c:v>
                </c:pt>
                <c:pt idx="7">
                  <c:v>12.244256595330407</c:v>
                </c:pt>
                <c:pt idx="8">
                  <c:v>12.19537393827636</c:v>
                </c:pt>
                <c:pt idx="9">
                  <c:v>11.933375205315077</c:v>
                </c:pt>
                <c:pt idx="10">
                  <c:v>11.638384676869064</c:v>
                </c:pt>
                <c:pt idx="11">
                  <c:v>13.764616188475376</c:v>
                </c:pt>
                <c:pt idx="12">
                  <c:v>13.692796603087718</c:v>
                </c:pt>
                <c:pt idx="13">
                  <c:v>13.312085796190532</c:v>
                </c:pt>
                <c:pt idx="14">
                  <c:v>15.351911104340804</c:v>
                </c:pt>
                <c:pt idx="15">
                  <c:v>15.109774863322917</c:v>
                </c:pt>
                <c:pt idx="16">
                  <c:v>14.465982780921458</c:v>
                </c:pt>
                <c:pt idx="17">
                  <c:v>13.431888784102084</c:v>
                </c:pt>
                <c:pt idx="18">
                  <c:v>11.676634105968988</c:v>
                </c:pt>
                <c:pt idx="19">
                  <c:v>13.602524666492327</c:v>
                </c:pt>
                <c:pt idx="20">
                  <c:v>15.386593392949457</c:v>
                </c:pt>
                <c:pt idx="21">
                  <c:v>14.82965770934439</c:v>
                </c:pt>
                <c:pt idx="22">
                  <c:v>14.511870632689877</c:v>
                </c:pt>
                <c:pt idx="23">
                  <c:v>14.644185192575051</c:v>
                </c:pt>
                <c:pt idx="24">
                  <c:v>13.785995155326386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6E-4521-BCBA-67C429EA4FBD}"/>
            </c:ext>
          </c:extLst>
        </c:ser>
        <c:ser>
          <c:idx val="2"/>
          <c:order val="2"/>
          <c:tx>
            <c:strRef>
              <c:f>'G-MM-4 TDisAjuTSemVsTIrhe,98-10'!$U$4:$W$4</c:f>
              <c:strCache>
                <c:ptCount val="1"/>
                <c:pt idx="0">
                  <c:v>ENSA</c:v>
                </c:pt>
              </c:strCache>
            </c:strRef>
          </c:tx>
          <c:spPr>
            <a:gradFill rotWithShape="0">
              <a:gsLst>
                <a:gs pos="0">
                  <a:srgbClr val="FFFF00"/>
                </a:gs>
                <a:gs pos="50000">
                  <a:srgbClr val="FFFFCC"/>
                </a:gs>
                <a:gs pos="100000">
                  <a:srgbClr val="FFFF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'G-MM-4 TDisAjuTSemVsTIrhe,98-10'!$K$7:$K$31</c:f>
              <c:strCache>
                <c:ptCount val="25"/>
                <c:pt idx="0">
                  <c:v>Antes de Nov 98</c:v>
                </c:pt>
                <c:pt idx="1">
                  <c:v>Dic 98 - Jun 99</c:v>
                </c:pt>
                <c:pt idx="2">
                  <c:v>Jul 99 - Dic 99</c:v>
                </c:pt>
                <c:pt idx="3">
                  <c:v>Ene 00 - Jun 00</c:v>
                </c:pt>
                <c:pt idx="4">
                  <c:v>Jul 00 - Dic 00</c:v>
                </c:pt>
                <c:pt idx="5">
                  <c:v>Ene 01 - Jun 01</c:v>
                </c:pt>
                <c:pt idx="6">
                  <c:v>Jul 01 - Dic 01</c:v>
                </c:pt>
                <c:pt idx="7">
                  <c:v>Ene 02 - Jun 02</c:v>
                </c:pt>
                <c:pt idx="8">
                  <c:v>Jul 02 - Dic 02</c:v>
                </c:pt>
                <c:pt idx="9">
                  <c:v>Ene 03 - Jun 03</c:v>
                </c:pt>
                <c:pt idx="10">
                  <c:v>Jul 03 - Dic 03</c:v>
                </c:pt>
                <c:pt idx="11">
                  <c:v>Ene 04 - Jun 04</c:v>
                </c:pt>
                <c:pt idx="12">
                  <c:v>Jul 04 - Dic 04</c:v>
                </c:pt>
                <c:pt idx="13">
                  <c:v>Ene 05 - Jun 05</c:v>
                </c:pt>
                <c:pt idx="14">
                  <c:v>Jul 05 - Dic 05</c:v>
                </c:pt>
                <c:pt idx="15">
                  <c:v>Ene 06 - Jun 06</c:v>
                </c:pt>
                <c:pt idx="16">
                  <c:v>Jul 06 - Dic 06</c:v>
                </c:pt>
                <c:pt idx="17">
                  <c:v>Ene 07 - Jun 07</c:v>
                </c:pt>
                <c:pt idx="18">
                  <c:v>Jul 07 - Dic 07</c:v>
                </c:pt>
                <c:pt idx="19">
                  <c:v>Ene 08 - Jun 08</c:v>
                </c:pt>
                <c:pt idx="20">
                  <c:v>Jul 08 - Dic 08</c:v>
                </c:pt>
                <c:pt idx="21">
                  <c:v>Ene 09 - Jun 09</c:v>
                </c:pt>
                <c:pt idx="22">
                  <c:v>Jul 09 - Dic 09</c:v>
                </c:pt>
                <c:pt idx="23">
                  <c:v>Ene 10 - Jun 10</c:v>
                </c:pt>
                <c:pt idx="24">
                  <c:v>Jul 10 - Dic 10</c:v>
                </c:pt>
              </c:strCache>
            </c:strRef>
          </c:cat>
          <c:val>
            <c:numRef>
              <c:f>'G-MM-4 TDisAjuTSemVsTIrhe,98-10'!$U$7:$U$31</c:f>
              <c:numCache>
                <c:formatCode>#,##0.00_ ;[Red]\-#,##0.00\ </c:formatCode>
                <c:ptCount val="25"/>
                <c:pt idx="0">
                  <c:v>10.97</c:v>
                </c:pt>
                <c:pt idx="1">
                  <c:v>9.9165941197918173</c:v>
                </c:pt>
                <c:pt idx="2">
                  <c:v>10.117371719532063</c:v>
                </c:pt>
                <c:pt idx="3">
                  <c:v>11.09700798282212</c:v>
                </c:pt>
                <c:pt idx="4">
                  <c:v>10.977526868181698</c:v>
                </c:pt>
                <c:pt idx="5">
                  <c:v>12.011156325706594</c:v>
                </c:pt>
                <c:pt idx="6">
                  <c:v>11.868390082526851</c:v>
                </c:pt>
                <c:pt idx="7">
                  <c:v>10.586108117862389</c:v>
                </c:pt>
                <c:pt idx="8">
                  <c:v>10.964459646501146</c:v>
                </c:pt>
                <c:pt idx="9">
                  <c:v>11.859934767556274</c:v>
                </c:pt>
                <c:pt idx="10">
                  <c:v>12.541081282711833</c:v>
                </c:pt>
                <c:pt idx="11">
                  <c:v>12.464351112506215</c:v>
                </c:pt>
                <c:pt idx="12">
                  <c:v>12.285169427830413</c:v>
                </c:pt>
                <c:pt idx="13">
                  <c:v>13.389562921137738</c:v>
                </c:pt>
                <c:pt idx="14">
                  <c:v>16.029508211241481</c:v>
                </c:pt>
                <c:pt idx="15">
                  <c:v>15.078516167795112</c:v>
                </c:pt>
                <c:pt idx="16">
                  <c:v>15.592552874219976</c:v>
                </c:pt>
                <c:pt idx="17">
                  <c:v>16.056683114257016</c:v>
                </c:pt>
                <c:pt idx="18">
                  <c:v>16.593262542737751</c:v>
                </c:pt>
                <c:pt idx="19">
                  <c:v>20.854797483711039</c:v>
                </c:pt>
                <c:pt idx="20">
                  <c:v>24.927547647183022</c:v>
                </c:pt>
                <c:pt idx="21">
                  <c:v>16.360301922828818</c:v>
                </c:pt>
                <c:pt idx="22">
                  <c:v>17.509689081647107</c:v>
                </c:pt>
                <c:pt idx="23">
                  <c:v>18.819273682057446</c:v>
                </c:pt>
                <c:pt idx="24">
                  <c:v>18.003220325270625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6E-4521-BCBA-67C429EA4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50"/>
        <c:axId val="335569360"/>
        <c:axId val="335572104"/>
      </c:barChart>
      <c:catAx>
        <c:axId val="33556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557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572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baseline="0"/>
                  <a:t>Centavos por KWh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5025041736227046E-2"/>
              <c:y val="0.271667191601049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5569360"/>
        <c:crosses val="autoZero"/>
        <c:crossBetween val="between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5041736227045076E-2"/>
          <c:y val="0.90500104986876639"/>
          <c:w val="0.94156928213689484"/>
          <c:h val="7.4999999999999956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516" header="0" footer="0"/>
    <c:pageSetup orientation="landscape" horizontalDpi="-3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AJUSTES TARIFARIOS SEMESTRALES VS TARIFA DEL IRHE 1998 - 2010</a:t>
            </a:r>
          </a:p>
        </c:rich>
      </c:tx>
      <c:layout>
        <c:manualLayout>
          <c:xMode val="edge"/>
          <c:yMode val="edge"/>
          <c:x val="0.12186978297161936"/>
          <c:y val="3.2500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489148580968295E-2"/>
          <c:y val="0.11750014343279229"/>
          <c:w val="0.87590428491930994"/>
          <c:h val="0.54333412073490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'G-MM-4 TDisAjuTSemVsTIrhe,98-10'!$O$4:$Q$4</c:f>
              <c:strCache>
                <c:ptCount val="1"/>
                <c:pt idx="0">
                  <c:v>EDEMET</c:v>
                </c:pt>
              </c:strCache>
            </c:strRef>
          </c:tx>
          <c:spPr>
            <a:gradFill rotWithShape="0">
              <a:gsLst>
                <a:gs pos="0">
                  <a:srgbClr val="008080"/>
                </a:gs>
                <a:gs pos="50000">
                  <a:srgbClr val="33CCCC"/>
                </a:gs>
                <a:gs pos="100000">
                  <a:srgbClr val="008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'G-MM-4 TDisAjuTSemVsTIrhe,98-10'!$K$8:$K$29</c:f>
              <c:strCache>
                <c:ptCount val="22"/>
                <c:pt idx="0">
                  <c:v>Dic 98 - Jun 99</c:v>
                </c:pt>
                <c:pt idx="1">
                  <c:v>Jul 99 - Dic 99</c:v>
                </c:pt>
                <c:pt idx="2">
                  <c:v>Ene 00 - Jun 00</c:v>
                </c:pt>
                <c:pt idx="3">
                  <c:v>Jul 00 - Dic 00</c:v>
                </c:pt>
                <c:pt idx="4">
                  <c:v>Ene 01 - Jun 01</c:v>
                </c:pt>
                <c:pt idx="5">
                  <c:v>Jul 01 - Dic 01</c:v>
                </c:pt>
                <c:pt idx="6">
                  <c:v>Ene 02 - Jun 02</c:v>
                </c:pt>
                <c:pt idx="7">
                  <c:v>Jul 02 - Dic 02</c:v>
                </c:pt>
                <c:pt idx="8">
                  <c:v>Ene 03 - Jun 03</c:v>
                </c:pt>
                <c:pt idx="9">
                  <c:v>Jul 03 - Dic 03</c:v>
                </c:pt>
                <c:pt idx="10">
                  <c:v>Ene 04 - Jun 04</c:v>
                </c:pt>
                <c:pt idx="11">
                  <c:v>Jul 04 - Dic 04</c:v>
                </c:pt>
                <c:pt idx="12">
                  <c:v>Ene 05 - Jun 05</c:v>
                </c:pt>
                <c:pt idx="13">
                  <c:v>Jul 05 - Dic 05</c:v>
                </c:pt>
                <c:pt idx="14">
                  <c:v>Ene 06 - Jun 06</c:v>
                </c:pt>
                <c:pt idx="15">
                  <c:v>Jul 06 - Dic 06</c:v>
                </c:pt>
                <c:pt idx="16">
                  <c:v>Ene 07 - Jun 07</c:v>
                </c:pt>
                <c:pt idx="17">
                  <c:v>Jul 07 - Dic 07</c:v>
                </c:pt>
                <c:pt idx="18">
                  <c:v>Ene 08 - Jun 08</c:v>
                </c:pt>
                <c:pt idx="19">
                  <c:v>Jul 08 - Dic 08</c:v>
                </c:pt>
                <c:pt idx="20">
                  <c:v>Ene 09 - Jun 09</c:v>
                </c:pt>
                <c:pt idx="21">
                  <c:v>Jul 09 - Dic 09</c:v>
                </c:pt>
              </c:strCache>
            </c:strRef>
          </c:cat>
          <c:val>
            <c:numRef>
              <c:f>'G-MM-4 TDisAjuTSemVsTIrhe,98-10'!$Q$8:$Q$31</c:f>
              <c:numCache>
                <c:formatCode>#,##0.00_ ;[Red]\-#,##0.00\ </c:formatCode>
                <c:ptCount val="24"/>
                <c:pt idx="0">
                  <c:v>-10.414133361839822</c:v>
                </c:pt>
                <c:pt idx="1">
                  <c:v>-6.6229056157381354</c:v>
                </c:pt>
                <c:pt idx="2">
                  <c:v>5.9572881299747955</c:v>
                </c:pt>
                <c:pt idx="3">
                  <c:v>5.2999662901282072</c:v>
                </c:pt>
                <c:pt idx="4">
                  <c:v>10.562301290678361</c:v>
                </c:pt>
                <c:pt idx="5">
                  <c:v>7.0873537127605966</c:v>
                </c:pt>
                <c:pt idx="6">
                  <c:v>3.6244348099374553</c:v>
                </c:pt>
                <c:pt idx="7">
                  <c:v>5.2270780230998524</c:v>
                </c:pt>
                <c:pt idx="8">
                  <c:v>10.055503841392868</c:v>
                </c:pt>
                <c:pt idx="9">
                  <c:v>12.033968642850841</c:v>
                </c:pt>
                <c:pt idx="10">
                  <c:v>13.273113322554847</c:v>
                </c:pt>
                <c:pt idx="11">
                  <c:v>14.060894878594649</c:v>
                </c:pt>
                <c:pt idx="12">
                  <c:v>21.793620291484579</c:v>
                </c:pt>
                <c:pt idx="13">
                  <c:v>20.043548080270902</c:v>
                </c:pt>
                <c:pt idx="14">
                  <c:v>30.0320544360818</c:v>
                </c:pt>
                <c:pt idx="15">
                  <c:v>46.533252600436654</c:v>
                </c:pt>
                <c:pt idx="16">
                  <c:v>43.507350937478947</c:v>
                </c:pt>
                <c:pt idx="17">
                  <c:v>46.59284702474595</c:v>
                </c:pt>
                <c:pt idx="18">
                  <c:v>68.434666437860287</c:v>
                </c:pt>
                <c:pt idx="19">
                  <c:v>102.33436410025938</c:v>
                </c:pt>
                <c:pt idx="20">
                  <c:v>55.285262258370651</c:v>
                </c:pt>
                <c:pt idx="21">
                  <c:v>59.116820954670189</c:v>
                </c:pt>
                <c:pt idx="22">
                  <c:v>54.065490231535144</c:v>
                </c:pt>
                <c:pt idx="23">
                  <c:v>46.86119285443457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03-4786-9B92-465B76515D3A}"/>
            </c:ext>
          </c:extLst>
        </c:ser>
        <c:ser>
          <c:idx val="1"/>
          <c:order val="1"/>
          <c:tx>
            <c:strRef>
              <c:f>'G-MM-4 TDisAjuTSemVsTIrhe,98-10'!$R$4:$T$4</c:f>
              <c:strCache>
                <c:ptCount val="1"/>
                <c:pt idx="0">
                  <c:v>EDECHI</c:v>
                </c:pt>
              </c:strCache>
            </c:strRef>
          </c:tx>
          <c:spPr>
            <a:gradFill rotWithShape="0">
              <a:gsLst>
                <a:gs pos="0">
                  <a:srgbClr val="FF8080"/>
                </a:gs>
                <a:gs pos="50000">
                  <a:srgbClr val="FF0000"/>
                </a:gs>
                <a:gs pos="100000">
                  <a:srgbClr val="FF8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'G-MM-4 TDisAjuTSemVsTIrhe,98-10'!$K$8:$K$29</c:f>
              <c:strCache>
                <c:ptCount val="22"/>
                <c:pt idx="0">
                  <c:v>Dic 98 - Jun 99</c:v>
                </c:pt>
                <c:pt idx="1">
                  <c:v>Jul 99 - Dic 99</c:v>
                </c:pt>
                <c:pt idx="2">
                  <c:v>Ene 00 - Jun 00</c:v>
                </c:pt>
                <c:pt idx="3">
                  <c:v>Jul 00 - Dic 00</c:v>
                </c:pt>
                <c:pt idx="4">
                  <c:v>Ene 01 - Jun 01</c:v>
                </c:pt>
                <c:pt idx="5">
                  <c:v>Jul 01 - Dic 01</c:v>
                </c:pt>
                <c:pt idx="6">
                  <c:v>Ene 02 - Jun 02</c:v>
                </c:pt>
                <c:pt idx="7">
                  <c:v>Jul 02 - Dic 02</c:v>
                </c:pt>
                <c:pt idx="8">
                  <c:v>Ene 03 - Jun 03</c:v>
                </c:pt>
                <c:pt idx="9">
                  <c:v>Jul 03 - Dic 03</c:v>
                </c:pt>
                <c:pt idx="10">
                  <c:v>Ene 04 - Jun 04</c:v>
                </c:pt>
                <c:pt idx="11">
                  <c:v>Jul 04 - Dic 04</c:v>
                </c:pt>
                <c:pt idx="12">
                  <c:v>Ene 05 - Jun 05</c:v>
                </c:pt>
                <c:pt idx="13">
                  <c:v>Jul 05 - Dic 05</c:v>
                </c:pt>
                <c:pt idx="14">
                  <c:v>Ene 06 - Jun 06</c:v>
                </c:pt>
                <c:pt idx="15">
                  <c:v>Jul 06 - Dic 06</c:v>
                </c:pt>
                <c:pt idx="16">
                  <c:v>Ene 07 - Jun 07</c:v>
                </c:pt>
                <c:pt idx="17">
                  <c:v>Jul 07 - Dic 07</c:v>
                </c:pt>
                <c:pt idx="18">
                  <c:v>Ene 08 - Jun 08</c:v>
                </c:pt>
                <c:pt idx="19">
                  <c:v>Jul 08 - Dic 08</c:v>
                </c:pt>
                <c:pt idx="20">
                  <c:v>Ene 09 - Jun 09</c:v>
                </c:pt>
                <c:pt idx="21">
                  <c:v>Jul 09 - Dic 09</c:v>
                </c:pt>
              </c:strCache>
            </c:strRef>
          </c:cat>
          <c:val>
            <c:numRef>
              <c:f>'G-MM-4 TDisAjuTSemVsTIrhe,98-10'!$T$8:$T$31</c:f>
              <c:numCache>
                <c:formatCode>#,##0.00_ ;[Red]\-#,##0.00\ </c:formatCode>
                <c:ptCount val="24"/>
                <c:pt idx="0">
                  <c:v>-8.6475294170721728</c:v>
                </c:pt>
                <c:pt idx="1">
                  <c:v>-8.2570617459837834</c:v>
                </c:pt>
                <c:pt idx="2">
                  <c:v>-9.7724762524393061</c:v>
                </c:pt>
                <c:pt idx="3">
                  <c:v>-11.130530548074589</c:v>
                </c:pt>
                <c:pt idx="4">
                  <c:v>-6.7403465591478282</c:v>
                </c:pt>
                <c:pt idx="5">
                  <c:v>-2.4010941460947119</c:v>
                </c:pt>
                <c:pt idx="6">
                  <c:v>9.0316704837970327</c:v>
                </c:pt>
                <c:pt idx="7">
                  <c:v>8.5963841342507514</c:v>
                </c:pt>
                <c:pt idx="8">
                  <c:v>6.2633589075251681</c:v>
                </c:pt>
                <c:pt idx="9">
                  <c:v>3.6365509961626339</c:v>
                </c:pt>
                <c:pt idx="10">
                  <c:v>22.570046201917858</c:v>
                </c:pt>
                <c:pt idx="11">
                  <c:v>21.930512939338534</c:v>
                </c:pt>
                <c:pt idx="12">
                  <c:v>18.540389992791908</c:v>
                </c:pt>
                <c:pt idx="13">
                  <c:v>36.704462193595752</c:v>
                </c:pt>
                <c:pt idx="14">
                  <c:v>34.548306886223656</c:v>
                </c:pt>
                <c:pt idx="15">
                  <c:v>28.815518975257852</c:v>
                </c:pt>
                <c:pt idx="16">
                  <c:v>19.607201995566189</c:v>
                </c:pt>
                <c:pt idx="17">
                  <c:v>3.9771514333836846</c:v>
                </c:pt>
                <c:pt idx="18">
                  <c:v>21.126666665114215</c:v>
                </c:pt>
                <c:pt idx="19">
                  <c:v>0</c:v>
                </c:pt>
                <c:pt idx="20">
                  <c:v>32.053942202532411</c:v>
                </c:pt>
                <c:pt idx="21">
                  <c:v>29.224137423774504</c:v>
                </c:pt>
                <c:pt idx="22">
                  <c:v>30.402361465494664</c:v>
                </c:pt>
                <c:pt idx="23">
                  <c:v>22.760419904954457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03-4786-9B92-465B76515D3A}"/>
            </c:ext>
          </c:extLst>
        </c:ser>
        <c:ser>
          <c:idx val="2"/>
          <c:order val="2"/>
          <c:tx>
            <c:strRef>
              <c:f>'G-MM-4 TDisAjuTSemVsTIrhe,98-10'!$U$4:$W$4</c:f>
              <c:strCache>
                <c:ptCount val="1"/>
                <c:pt idx="0">
                  <c:v>ENSA</c:v>
                </c:pt>
              </c:strCache>
            </c:strRef>
          </c:tx>
          <c:spPr>
            <a:gradFill rotWithShape="0">
              <a:gsLst>
                <a:gs pos="0">
                  <a:srgbClr val="FFFF00"/>
                </a:gs>
                <a:gs pos="50000">
                  <a:srgbClr val="FFFFCC"/>
                </a:gs>
                <a:gs pos="100000">
                  <a:srgbClr val="FFFF0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'G-MM-4 TDisAjuTSemVsTIrhe,98-10'!$K$8:$K$29</c:f>
              <c:strCache>
                <c:ptCount val="22"/>
                <c:pt idx="0">
                  <c:v>Dic 98 - Jun 99</c:v>
                </c:pt>
                <c:pt idx="1">
                  <c:v>Jul 99 - Dic 99</c:v>
                </c:pt>
                <c:pt idx="2">
                  <c:v>Ene 00 - Jun 00</c:v>
                </c:pt>
                <c:pt idx="3">
                  <c:v>Jul 00 - Dic 00</c:v>
                </c:pt>
                <c:pt idx="4">
                  <c:v>Ene 01 - Jun 01</c:v>
                </c:pt>
                <c:pt idx="5">
                  <c:v>Jul 01 - Dic 01</c:v>
                </c:pt>
                <c:pt idx="6">
                  <c:v>Ene 02 - Jun 02</c:v>
                </c:pt>
                <c:pt idx="7">
                  <c:v>Jul 02 - Dic 02</c:v>
                </c:pt>
                <c:pt idx="8">
                  <c:v>Ene 03 - Jun 03</c:v>
                </c:pt>
                <c:pt idx="9">
                  <c:v>Jul 03 - Dic 03</c:v>
                </c:pt>
                <c:pt idx="10">
                  <c:v>Ene 04 - Jun 04</c:v>
                </c:pt>
                <c:pt idx="11">
                  <c:v>Jul 04 - Dic 04</c:v>
                </c:pt>
                <c:pt idx="12">
                  <c:v>Ene 05 - Jun 05</c:v>
                </c:pt>
                <c:pt idx="13">
                  <c:v>Jul 05 - Dic 05</c:v>
                </c:pt>
                <c:pt idx="14">
                  <c:v>Ene 06 - Jun 06</c:v>
                </c:pt>
                <c:pt idx="15">
                  <c:v>Jul 06 - Dic 06</c:v>
                </c:pt>
                <c:pt idx="16">
                  <c:v>Ene 07 - Jun 07</c:v>
                </c:pt>
                <c:pt idx="17">
                  <c:v>Jul 07 - Dic 07</c:v>
                </c:pt>
                <c:pt idx="18">
                  <c:v>Ene 08 - Jun 08</c:v>
                </c:pt>
                <c:pt idx="19">
                  <c:v>Jul 08 - Dic 08</c:v>
                </c:pt>
                <c:pt idx="20">
                  <c:v>Ene 09 - Jun 09</c:v>
                </c:pt>
                <c:pt idx="21">
                  <c:v>Jul 09 - Dic 09</c:v>
                </c:pt>
              </c:strCache>
            </c:strRef>
          </c:cat>
          <c:val>
            <c:numRef>
              <c:f>'G-MM-4 TDisAjuTSemVsTIrhe,98-10'!$W$8:$W$31</c:f>
              <c:numCache>
                <c:formatCode>#,##0.00_ ;[Red]\-#,##0.00\ </c:formatCode>
                <c:ptCount val="24"/>
                <c:pt idx="0">
                  <c:v>-9.6026060183061386</c:v>
                </c:pt>
                <c:pt idx="1">
                  <c:v>-7.7723635411844834</c:v>
                </c:pt>
                <c:pt idx="2">
                  <c:v>1.1577755954614362</c:v>
                </c:pt>
                <c:pt idx="3">
                  <c:v>6.8613201291682455E-2</c:v>
                </c:pt>
                <c:pt idx="4">
                  <c:v>9.4909418934055889</c:v>
                </c:pt>
                <c:pt idx="5">
                  <c:v>8.1895176164708321</c:v>
                </c:pt>
                <c:pt idx="6">
                  <c:v>-3.4994702109171478</c:v>
                </c:pt>
                <c:pt idx="7">
                  <c:v>-5.0504589779899314E-2</c:v>
                </c:pt>
                <c:pt idx="8">
                  <c:v>8.1124409075321147</c:v>
                </c:pt>
                <c:pt idx="9">
                  <c:v>14.321616068476134</c:v>
                </c:pt>
                <c:pt idx="10">
                  <c:v>13.622161463137775</c:v>
                </c:pt>
                <c:pt idx="11">
                  <c:v>11.988782386785889</c:v>
                </c:pt>
                <c:pt idx="12">
                  <c:v>22.056179773361325</c:v>
                </c:pt>
                <c:pt idx="13">
                  <c:v>46.121314596549503</c:v>
                </c:pt>
                <c:pt idx="14">
                  <c:v>37.452289587922614</c:v>
                </c:pt>
                <c:pt idx="15">
                  <c:v>42.138130120510255</c:v>
                </c:pt>
                <c:pt idx="16">
                  <c:v>46.369034769890746</c:v>
                </c:pt>
                <c:pt idx="17">
                  <c:v>51.260369578283957</c:v>
                </c:pt>
                <c:pt idx="18">
                  <c:v>90.107543151422391</c:v>
                </c:pt>
                <c:pt idx="19">
                  <c:v>127.23379806000932</c:v>
                </c:pt>
                <c:pt idx="20">
                  <c:v>49.13675408230462</c:v>
                </c:pt>
                <c:pt idx="21">
                  <c:v>59.614303387849645</c:v>
                </c:pt>
                <c:pt idx="22">
                  <c:v>71.552175770806244</c:v>
                </c:pt>
                <c:pt idx="23">
                  <c:v>64.113220832002042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03-4786-9B92-465B76515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50"/>
        <c:axId val="280545000"/>
        <c:axId val="280542648"/>
      </c:barChart>
      <c:catAx>
        <c:axId val="280545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54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542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Porcentaje</a:t>
                </a:r>
              </a:p>
            </c:rich>
          </c:tx>
          <c:layout>
            <c:manualLayout>
              <c:xMode val="edge"/>
              <c:yMode val="edge"/>
              <c:x val="8.3472454090150246E-3"/>
              <c:y val="0.33500052493438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80545000"/>
        <c:crosses val="autoZero"/>
        <c:crossBetween val="between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5041736227045076E-2"/>
          <c:y val="0.90500104986876639"/>
          <c:w val="0.94156928213689484"/>
          <c:h val="7.4999999999999956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461" header="0" footer="0"/>
    <c:pageSetup orientation="landscape" horizontalDpi="-3" verticalDpi="36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356110381078144E-2"/>
          <c:y val="4.8333595800524924E-2"/>
          <c:w val="0.89224704336399474"/>
          <c:h val="0.69916745406824143"/>
        </c:manualLayout>
      </c:layout>
      <c:lineChart>
        <c:grouping val="standard"/>
        <c:varyColors val="0"/>
        <c:ser>
          <c:idx val="0"/>
          <c:order val="0"/>
          <c:tx>
            <c:v>SPOT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strRef>
              <c:f>'G-MM-2 PreMonCon&amp;MerOca,98-10'!$M$7:$M$162</c:f>
              <c:strCache>
                <c:ptCount val="156"/>
                <c:pt idx="0">
                  <c:v>Ene 98</c:v>
                </c:pt>
                <c:pt idx="1">
                  <c:v>Feb 98</c:v>
                </c:pt>
                <c:pt idx="2">
                  <c:v>Mar 98</c:v>
                </c:pt>
                <c:pt idx="3">
                  <c:v>Abr 98</c:v>
                </c:pt>
                <c:pt idx="4">
                  <c:v>May 98</c:v>
                </c:pt>
                <c:pt idx="5">
                  <c:v>Jun 98</c:v>
                </c:pt>
                <c:pt idx="6">
                  <c:v>Jul 98</c:v>
                </c:pt>
                <c:pt idx="7">
                  <c:v>Ago 98</c:v>
                </c:pt>
                <c:pt idx="8">
                  <c:v>Sep 98</c:v>
                </c:pt>
                <c:pt idx="9">
                  <c:v>Oct 98</c:v>
                </c:pt>
                <c:pt idx="10">
                  <c:v>Nov 98</c:v>
                </c:pt>
                <c:pt idx="11">
                  <c:v>Dic 98</c:v>
                </c:pt>
                <c:pt idx="12">
                  <c:v>Ene 99</c:v>
                </c:pt>
                <c:pt idx="13">
                  <c:v>Feb 99</c:v>
                </c:pt>
                <c:pt idx="14">
                  <c:v>Mar 99</c:v>
                </c:pt>
                <c:pt idx="15">
                  <c:v>Abr 99</c:v>
                </c:pt>
                <c:pt idx="16">
                  <c:v>May 99</c:v>
                </c:pt>
                <c:pt idx="17">
                  <c:v>Jun 99</c:v>
                </c:pt>
                <c:pt idx="18">
                  <c:v>Jul 99</c:v>
                </c:pt>
                <c:pt idx="19">
                  <c:v>Ago 99</c:v>
                </c:pt>
                <c:pt idx="20">
                  <c:v>Sep 99</c:v>
                </c:pt>
                <c:pt idx="21">
                  <c:v>Oct 99</c:v>
                </c:pt>
                <c:pt idx="22">
                  <c:v>Nov 99</c:v>
                </c:pt>
                <c:pt idx="23">
                  <c:v>Dic 99</c:v>
                </c:pt>
                <c:pt idx="24">
                  <c:v>Ene 00</c:v>
                </c:pt>
                <c:pt idx="25">
                  <c:v>Feb 00</c:v>
                </c:pt>
                <c:pt idx="26">
                  <c:v>Mar 00</c:v>
                </c:pt>
                <c:pt idx="27">
                  <c:v>Abr 00</c:v>
                </c:pt>
                <c:pt idx="28">
                  <c:v>May 00</c:v>
                </c:pt>
                <c:pt idx="29">
                  <c:v>Jun 00</c:v>
                </c:pt>
                <c:pt idx="30">
                  <c:v>Jul 00</c:v>
                </c:pt>
                <c:pt idx="31">
                  <c:v>Ago 00</c:v>
                </c:pt>
                <c:pt idx="32">
                  <c:v>Sep 00</c:v>
                </c:pt>
                <c:pt idx="33">
                  <c:v>Oct 00</c:v>
                </c:pt>
                <c:pt idx="34">
                  <c:v>Nov 00</c:v>
                </c:pt>
                <c:pt idx="35">
                  <c:v>Dic 00</c:v>
                </c:pt>
                <c:pt idx="36">
                  <c:v>Ene 01</c:v>
                </c:pt>
                <c:pt idx="37">
                  <c:v>Feb 01</c:v>
                </c:pt>
                <c:pt idx="38">
                  <c:v>Mar 01</c:v>
                </c:pt>
                <c:pt idx="39">
                  <c:v>Abr 01</c:v>
                </c:pt>
                <c:pt idx="40">
                  <c:v>May 01</c:v>
                </c:pt>
                <c:pt idx="41">
                  <c:v>Jun 01</c:v>
                </c:pt>
                <c:pt idx="42">
                  <c:v>Jul 01</c:v>
                </c:pt>
                <c:pt idx="43">
                  <c:v>Ago 01</c:v>
                </c:pt>
                <c:pt idx="44">
                  <c:v>Sep 01</c:v>
                </c:pt>
                <c:pt idx="45">
                  <c:v>Oct 01</c:v>
                </c:pt>
                <c:pt idx="46">
                  <c:v>Nov 01</c:v>
                </c:pt>
                <c:pt idx="47">
                  <c:v>Dic 01</c:v>
                </c:pt>
                <c:pt idx="48">
                  <c:v>Ene 02</c:v>
                </c:pt>
                <c:pt idx="49">
                  <c:v>Feb 02</c:v>
                </c:pt>
                <c:pt idx="50">
                  <c:v>Mar 02</c:v>
                </c:pt>
                <c:pt idx="51">
                  <c:v>Abr 02</c:v>
                </c:pt>
                <c:pt idx="52">
                  <c:v>May 02</c:v>
                </c:pt>
                <c:pt idx="53">
                  <c:v>Jun 02</c:v>
                </c:pt>
                <c:pt idx="54">
                  <c:v>Jul 02</c:v>
                </c:pt>
                <c:pt idx="55">
                  <c:v>Ago 02</c:v>
                </c:pt>
                <c:pt idx="56">
                  <c:v>Sep 02</c:v>
                </c:pt>
                <c:pt idx="57">
                  <c:v>Oct 02</c:v>
                </c:pt>
                <c:pt idx="58">
                  <c:v>Nov 02</c:v>
                </c:pt>
                <c:pt idx="59">
                  <c:v>Dic 02</c:v>
                </c:pt>
                <c:pt idx="60">
                  <c:v>Ene 03</c:v>
                </c:pt>
                <c:pt idx="61">
                  <c:v>Feb 04</c:v>
                </c:pt>
                <c:pt idx="62">
                  <c:v>Mar 03</c:v>
                </c:pt>
                <c:pt idx="63">
                  <c:v>Abr 03</c:v>
                </c:pt>
                <c:pt idx="64">
                  <c:v>May 03</c:v>
                </c:pt>
                <c:pt idx="65">
                  <c:v>Jun 03</c:v>
                </c:pt>
                <c:pt idx="66">
                  <c:v>Jul 03</c:v>
                </c:pt>
                <c:pt idx="67">
                  <c:v>Ago 03</c:v>
                </c:pt>
                <c:pt idx="68">
                  <c:v>Sep 03</c:v>
                </c:pt>
                <c:pt idx="69">
                  <c:v>Oct 03</c:v>
                </c:pt>
                <c:pt idx="70">
                  <c:v>Nov 03</c:v>
                </c:pt>
                <c:pt idx="71">
                  <c:v>Dic 03</c:v>
                </c:pt>
                <c:pt idx="72">
                  <c:v>Ene 04</c:v>
                </c:pt>
                <c:pt idx="73">
                  <c:v>Feb 04</c:v>
                </c:pt>
                <c:pt idx="74">
                  <c:v>Mar 04</c:v>
                </c:pt>
                <c:pt idx="75">
                  <c:v>Abr 04</c:v>
                </c:pt>
                <c:pt idx="76">
                  <c:v>May 04</c:v>
                </c:pt>
                <c:pt idx="77">
                  <c:v>Jun 04</c:v>
                </c:pt>
                <c:pt idx="78">
                  <c:v>Jul 04</c:v>
                </c:pt>
                <c:pt idx="79">
                  <c:v>Ago 04</c:v>
                </c:pt>
                <c:pt idx="80">
                  <c:v>Sep 04</c:v>
                </c:pt>
                <c:pt idx="81">
                  <c:v>Oct 04</c:v>
                </c:pt>
                <c:pt idx="82">
                  <c:v>Nov 04</c:v>
                </c:pt>
                <c:pt idx="83">
                  <c:v>Dic 04</c:v>
                </c:pt>
                <c:pt idx="84">
                  <c:v>Ene 05</c:v>
                </c:pt>
                <c:pt idx="85">
                  <c:v>Feb 05</c:v>
                </c:pt>
                <c:pt idx="86">
                  <c:v>Mar 05</c:v>
                </c:pt>
                <c:pt idx="87">
                  <c:v>Abr 05</c:v>
                </c:pt>
                <c:pt idx="88">
                  <c:v>May 05</c:v>
                </c:pt>
                <c:pt idx="89">
                  <c:v>Jun 05</c:v>
                </c:pt>
                <c:pt idx="90">
                  <c:v>Jul 05</c:v>
                </c:pt>
                <c:pt idx="91">
                  <c:v>Ago 05</c:v>
                </c:pt>
                <c:pt idx="92">
                  <c:v>Sep 05</c:v>
                </c:pt>
                <c:pt idx="93">
                  <c:v>Oct 05</c:v>
                </c:pt>
                <c:pt idx="94">
                  <c:v>Nov 05</c:v>
                </c:pt>
                <c:pt idx="95">
                  <c:v>Dic 05</c:v>
                </c:pt>
                <c:pt idx="96">
                  <c:v>Ene 06</c:v>
                </c:pt>
                <c:pt idx="97">
                  <c:v>Feb 06</c:v>
                </c:pt>
                <c:pt idx="98">
                  <c:v>Mar 06</c:v>
                </c:pt>
                <c:pt idx="99">
                  <c:v>Abr 06</c:v>
                </c:pt>
                <c:pt idx="100">
                  <c:v>May 06</c:v>
                </c:pt>
                <c:pt idx="101">
                  <c:v>Jun 06</c:v>
                </c:pt>
                <c:pt idx="102">
                  <c:v>Jul 06</c:v>
                </c:pt>
                <c:pt idx="103">
                  <c:v>Ago 06</c:v>
                </c:pt>
                <c:pt idx="104">
                  <c:v>Sep 06</c:v>
                </c:pt>
                <c:pt idx="105">
                  <c:v>Oct 06</c:v>
                </c:pt>
                <c:pt idx="106">
                  <c:v>Nov 06</c:v>
                </c:pt>
                <c:pt idx="107">
                  <c:v>Dic 06</c:v>
                </c:pt>
                <c:pt idx="108">
                  <c:v>Ene 07</c:v>
                </c:pt>
                <c:pt idx="109">
                  <c:v>Feb 07</c:v>
                </c:pt>
                <c:pt idx="110">
                  <c:v>Mar 07</c:v>
                </c:pt>
                <c:pt idx="111">
                  <c:v>Abr 07</c:v>
                </c:pt>
                <c:pt idx="112">
                  <c:v>May 07</c:v>
                </c:pt>
                <c:pt idx="113">
                  <c:v>Jun 07</c:v>
                </c:pt>
                <c:pt idx="114">
                  <c:v>Jul 07</c:v>
                </c:pt>
                <c:pt idx="115">
                  <c:v>Ago 07</c:v>
                </c:pt>
                <c:pt idx="116">
                  <c:v>Sep 07</c:v>
                </c:pt>
                <c:pt idx="117">
                  <c:v>Oct 07</c:v>
                </c:pt>
                <c:pt idx="118">
                  <c:v>Nov 07</c:v>
                </c:pt>
                <c:pt idx="119">
                  <c:v>Dic 07</c:v>
                </c:pt>
                <c:pt idx="120">
                  <c:v>Ene 08</c:v>
                </c:pt>
                <c:pt idx="121">
                  <c:v>Feb 08</c:v>
                </c:pt>
                <c:pt idx="122">
                  <c:v>Mar 08</c:v>
                </c:pt>
                <c:pt idx="123">
                  <c:v>Abr 08</c:v>
                </c:pt>
                <c:pt idx="124">
                  <c:v>May 08</c:v>
                </c:pt>
                <c:pt idx="125">
                  <c:v>Jun 08</c:v>
                </c:pt>
                <c:pt idx="126">
                  <c:v>Jul 08</c:v>
                </c:pt>
                <c:pt idx="127">
                  <c:v>Ago 08</c:v>
                </c:pt>
                <c:pt idx="128">
                  <c:v>Sep 08</c:v>
                </c:pt>
                <c:pt idx="129">
                  <c:v>Oct 08</c:v>
                </c:pt>
                <c:pt idx="130">
                  <c:v>Nov 08</c:v>
                </c:pt>
                <c:pt idx="131">
                  <c:v>Dic 08</c:v>
                </c:pt>
                <c:pt idx="132">
                  <c:v>Ene 09</c:v>
                </c:pt>
                <c:pt idx="133">
                  <c:v>Feb 09</c:v>
                </c:pt>
                <c:pt idx="134">
                  <c:v>Mar 09</c:v>
                </c:pt>
                <c:pt idx="135">
                  <c:v>Abr 09</c:v>
                </c:pt>
                <c:pt idx="136">
                  <c:v>May 09</c:v>
                </c:pt>
                <c:pt idx="137">
                  <c:v>Jun 09</c:v>
                </c:pt>
                <c:pt idx="138">
                  <c:v>Jul 09</c:v>
                </c:pt>
                <c:pt idx="139">
                  <c:v>Ago 09</c:v>
                </c:pt>
                <c:pt idx="140">
                  <c:v>Sep 09</c:v>
                </c:pt>
                <c:pt idx="141">
                  <c:v>Oct 09</c:v>
                </c:pt>
                <c:pt idx="142">
                  <c:v>Nov 09</c:v>
                </c:pt>
                <c:pt idx="143">
                  <c:v>Dic 09</c:v>
                </c:pt>
                <c:pt idx="144">
                  <c:v>Ene 10</c:v>
                </c:pt>
                <c:pt idx="145">
                  <c:v>Feb 10</c:v>
                </c:pt>
                <c:pt idx="146">
                  <c:v>Mar 10</c:v>
                </c:pt>
                <c:pt idx="147">
                  <c:v>Abr 10</c:v>
                </c:pt>
                <c:pt idx="148">
                  <c:v>May 10</c:v>
                </c:pt>
                <c:pt idx="149">
                  <c:v>Jun 10</c:v>
                </c:pt>
                <c:pt idx="150">
                  <c:v>Jul 10</c:v>
                </c:pt>
                <c:pt idx="151">
                  <c:v>Ago 10</c:v>
                </c:pt>
                <c:pt idx="152">
                  <c:v>Sep 10</c:v>
                </c:pt>
                <c:pt idx="153">
                  <c:v>Oct 10</c:v>
                </c:pt>
                <c:pt idx="154">
                  <c:v>Nov 10</c:v>
                </c:pt>
                <c:pt idx="155">
                  <c:v>Dic 10</c:v>
                </c:pt>
              </c:strCache>
            </c:strRef>
          </c:cat>
          <c:val>
            <c:numRef>
              <c:f>'G-MM-2 PreMonCon&amp;MerOca,98-10'!$N$7:$N$162</c:f>
              <c:numCache>
                <c:formatCode>#,##0.00</c:formatCode>
                <c:ptCount val="156"/>
                <c:pt idx="0">
                  <c:v>79.020161290322562</c:v>
                </c:pt>
                <c:pt idx="1">
                  <c:v>98.745505952380967</c:v>
                </c:pt>
                <c:pt idx="2">
                  <c:v>134.00907258064515</c:v>
                </c:pt>
                <c:pt idx="3">
                  <c:v>148.98194444444445</c:v>
                </c:pt>
                <c:pt idx="4">
                  <c:v>144.20833333333334</c:v>
                </c:pt>
                <c:pt idx="5">
                  <c:v>140.84444444444443</c:v>
                </c:pt>
                <c:pt idx="6">
                  <c:v>63.76</c:v>
                </c:pt>
                <c:pt idx="7">
                  <c:v>58.53</c:v>
                </c:pt>
                <c:pt idx="8">
                  <c:v>54.48</c:v>
                </c:pt>
                <c:pt idx="9">
                  <c:v>57.32</c:v>
                </c:pt>
                <c:pt idx="10">
                  <c:v>56</c:v>
                </c:pt>
                <c:pt idx="11">
                  <c:v>50.78</c:v>
                </c:pt>
                <c:pt idx="12">
                  <c:v>50.6</c:v>
                </c:pt>
                <c:pt idx="13">
                  <c:v>44.88</c:v>
                </c:pt>
                <c:pt idx="14">
                  <c:v>45.48</c:v>
                </c:pt>
                <c:pt idx="15">
                  <c:v>46.88</c:v>
                </c:pt>
                <c:pt idx="16">
                  <c:v>44.83</c:v>
                </c:pt>
                <c:pt idx="17">
                  <c:v>43.3</c:v>
                </c:pt>
                <c:pt idx="18">
                  <c:v>45.77</c:v>
                </c:pt>
                <c:pt idx="19">
                  <c:v>46.97</c:v>
                </c:pt>
                <c:pt idx="20">
                  <c:v>45.523982375004742</c:v>
                </c:pt>
                <c:pt idx="21">
                  <c:v>41.627333121539124</c:v>
                </c:pt>
                <c:pt idx="22">
                  <c:v>41.38</c:v>
                </c:pt>
                <c:pt idx="23">
                  <c:v>32.29</c:v>
                </c:pt>
                <c:pt idx="24">
                  <c:v>32.46</c:v>
                </c:pt>
                <c:pt idx="25">
                  <c:v>51.99</c:v>
                </c:pt>
                <c:pt idx="26">
                  <c:v>56.07</c:v>
                </c:pt>
                <c:pt idx="27">
                  <c:v>50.96</c:v>
                </c:pt>
                <c:pt idx="28">
                  <c:v>52.91</c:v>
                </c:pt>
                <c:pt idx="29">
                  <c:v>52.64</c:v>
                </c:pt>
                <c:pt idx="30">
                  <c:v>52.67</c:v>
                </c:pt>
                <c:pt idx="31">
                  <c:v>51.54</c:v>
                </c:pt>
                <c:pt idx="32">
                  <c:v>55.45</c:v>
                </c:pt>
                <c:pt idx="33">
                  <c:v>57.91</c:v>
                </c:pt>
                <c:pt idx="34">
                  <c:v>58.34</c:v>
                </c:pt>
                <c:pt idx="35">
                  <c:v>57.03</c:v>
                </c:pt>
                <c:pt idx="36">
                  <c:v>51.85</c:v>
                </c:pt>
                <c:pt idx="37">
                  <c:v>53.63</c:v>
                </c:pt>
                <c:pt idx="38">
                  <c:v>57</c:v>
                </c:pt>
                <c:pt idx="39">
                  <c:v>57.55</c:v>
                </c:pt>
                <c:pt idx="40">
                  <c:v>60.28</c:v>
                </c:pt>
                <c:pt idx="41">
                  <c:v>56.07</c:v>
                </c:pt>
                <c:pt idx="42">
                  <c:v>48.13</c:v>
                </c:pt>
                <c:pt idx="43">
                  <c:v>47.47</c:v>
                </c:pt>
                <c:pt idx="44">
                  <c:v>49.55</c:v>
                </c:pt>
                <c:pt idx="45">
                  <c:v>50.48</c:v>
                </c:pt>
                <c:pt idx="46">
                  <c:v>46.54</c:v>
                </c:pt>
                <c:pt idx="47">
                  <c:v>41.89</c:v>
                </c:pt>
                <c:pt idx="48">
                  <c:v>39.840000000000003</c:v>
                </c:pt>
                <c:pt idx="49">
                  <c:v>39.840000000000003</c:v>
                </c:pt>
                <c:pt idx="50">
                  <c:v>40.61</c:v>
                </c:pt>
                <c:pt idx="51">
                  <c:v>49.75</c:v>
                </c:pt>
                <c:pt idx="52">
                  <c:v>47.48</c:v>
                </c:pt>
                <c:pt idx="53">
                  <c:v>44.38</c:v>
                </c:pt>
                <c:pt idx="54">
                  <c:v>45.98</c:v>
                </c:pt>
                <c:pt idx="55">
                  <c:v>49.44</c:v>
                </c:pt>
                <c:pt idx="56">
                  <c:v>45.28</c:v>
                </c:pt>
                <c:pt idx="57">
                  <c:v>48.89</c:v>
                </c:pt>
                <c:pt idx="58">
                  <c:v>49.172286426365559</c:v>
                </c:pt>
                <c:pt idx="59">
                  <c:v>45.99</c:v>
                </c:pt>
                <c:pt idx="60">
                  <c:v>50.52</c:v>
                </c:pt>
                <c:pt idx="61">
                  <c:v>60.8</c:v>
                </c:pt>
                <c:pt idx="62">
                  <c:v>60.88</c:v>
                </c:pt>
                <c:pt idx="63">
                  <c:v>65.05</c:v>
                </c:pt>
                <c:pt idx="64">
                  <c:v>52.05</c:v>
                </c:pt>
                <c:pt idx="65">
                  <c:v>49.89</c:v>
                </c:pt>
                <c:pt idx="66">
                  <c:v>52.9</c:v>
                </c:pt>
                <c:pt idx="67">
                  <c:v>58.3</c:v>
                </c:pt>
                <c:pt idx="68">
                  <c:v>56.77</c:v>
                </c:pt>
                <c:pt idx="69">
                  <c:v>55.5</c:v>
                </c:pt>
                <c:pt idx="70">
                  <c:v>53.64</c:v>
                </c:pt>
                <c:pt idx="71">
                  <c:v>50.81</c:v>
                </c:pt>
                <c:pt idx="72" formatCode="0.00">
                  <c:v>52</c:v>
                </c:pt>
                <c:pt idx="73" formatCode="0.00">
                  <c:v>56.81</c:v>
                </c:pt>
                <c:pt idx="74" formatCode="0.00">
                  <c:v>58.61</c:v>
                </c:pt>
                <c:pt idx="75" formatCode="0.00">
                  <c:v>58.6</c:v>
                </c:pt>
                <c:pt idx="76" formatCode="0.00">
                  <c:v>52.76</c:v>
                </c:pt>
                <c:pt idx="77" formatCode="0.00">
                  <c:v>55.17</c:v>
                </c:pt>
                <c:pt idx="78" formatCode="0.00">
                  <c:v>58.64</c:v>
                </c:pt>
                <c:pt idx="79" formatCode="0.00">
                  <c:v>58.48</c:v>
                </c:pt>
                <c:pt idx="80" formatCode="0.00">
                  <c:v>61.57</c:v>
                </c:pt>
                <c:pt idx="81" formatCode="0.00">
                  <c:v>63.11</c:v>
                </c:pt>
                <c:pt idx="82" formatCode="0.00">
                  <c:v>53.94</c:v>
                </c:pt>
                <c:pt idx="83" formatCode="0.00">
                  <c:v>48.74</c:v>
                </c:pt>
                <c:pt idx="84" formatCode="0.00">
                  <c:v>47.9</c:v>
                </c:pt>
                <c:pt idx="85" formatCode="0.00">
                  <c:v>57.71</c:v>
                </c:pt>
                <c:pt idx="86" formatCode="0.00">
                  <c:v>71.61</c:v>
                </c:pt>
                <c:pt idx="87" formatCode="0.00">
                  <c:v>83.65</c:v>
                </c:pt>
                <c:pt idx="88" formatCode="0.00">
                  <c:v>87.652000000000001</c:v>
                </c:pt>
                <c:pt idx="89" formatCode="0.00">
                  <c:v>90.93</c:v>
                </c:pt>
                <c:pt idx="90" formatCode="0.00">
                  <c:v>103.45</c:v>
                </c:pt>
                <c:pt idx="91" formatCode="0.00">
                  <c:v>102.36</c:v>
                </c:pt>
                <c:pt idx="92" formatCode="0.00">
                  <c:v>106.2</c:v>
                </c:pt>
                <c:pt idx="93" formatCode="0.00">
                  <c:v>102.49</c:v>
                </c:pt>
                <c:pt idx="94" formatCode="0.00">
                  <c:v>107.81</c:v>
                </c:pt>
                <c:pt idx="95" formatCode="0.00">
                  <c:v>118.18</c:v>
                </c:pt>
                <c:pt idx="96" formatCode="#,##0.00_ ;[Red]\-#,##0.00\ ">
                  <c:v>138.66999999999999</c:v>
                </c:pt>
                <c:pt idx="97" formatCode="#,##0.00_ ;[Red]\-#,##0.00\ ">
                  <c:v>113.01</c:v>
                </c:pt>
                <c:pt idx="98" formatCode="#,##0.00_ ;[Red]\-#,##0.00\ ">
                  <c:v>112.29</c:v>
                </c:pt>
                <c:pt idx="99" formatCode="#,##0.00_ ;[Red]\-#,##0.00\ ">
                  <c:v>114.72</c:v>
                </c:pt>
                <c:pt idx="100" formatCode="#,##0.00_ ;[Red]\-#,##0.00\ ">
                  <c:v>130.80000000000001</c:v>
                </c:pt>
                <c:pt idx="101" formatCode="#,##0.00_ ;[Red]\-#,##0.00\ ">
                  <c:v>126.55</c:v>
                </c:pt>
                <c:pt idx="102" formatCode="#,##0.00_ ;[Red]\-#,##0.00\ ">
                  <c:v>128.38</c:v>
                </c:pt>
                <c:pt idx="103" formatCode="#,##0.00_ ;[Red]\-#,##0.00\ ">
                  <c:v>124.62</c:v>
                </c:pt>
                <c:pt idx="104" formatCode="#,##0.00_ ;[Red]\-#,##0.00\ ">
                  <c:v>124.85</c:v>
                </c:pt>
                <c:pt idx="105" formatCode="#,##0.00_ ;[Red]\-#,##0.00\ ">
                  <c:v>125.64</c:v>
                </c:pt>
                <c:pt idx="106" formatCode="#,##0.00_ ;[Red]\-#,##0.00\ ">
                  <c:v>131.43</c:v>
                </c:pt>
                <c:pt idx="107" formatCode="#,##0.00_ ;[Red]\-#,##0.00\ ">
                  <c:v>136.23114614708368</c:v>
                </c:pt>
                <c:pt idx="108" formatCode="#,##0.00_ ;[Red]\-#,##0.00\ ">
                  <c:v>124.73</c:v>
                </c:pt>
                <c:pt idx="109" formatCode="#,##0.00_ ;[Red]\-#,##0.00\ ">
                  <c:v>129.05000000000001</c:v>
                </c:pt>
                <c:pt idx="110" formatCode="#,##0.00_ ;[Red]\-#,##0.00\ ">
                  <c:v>157.69</c:v>
                </c:pt>
                <c:pt idx="111" formatCode="#,##0.00_ ;[Red]\-#,##0.00\ ">
                  <c:v>202.64</c:v>
                </c:pt>
                <c:pt idx="112" formatCode="#,##0.00_ ;[Red]\-#,##0.00\ ">
                  <c:v>265.14999999999998</c:v>
                </c:pt>
                <c:pt idx="113" formatCode="#,##0.00_ ;[Red]\-#,##0.00\ ">
                  <c:v>138.99</c:v>
                </c:pt>
                <c:pt idx="114" formatCode="#,##0.00_ ;[Red]\-#,##0.00\ ">
                  <c:v>145.41</c:v>
                </c:pt>
                <c:pt idx="115" formatCode="#,##0.00_ ;[Red]\-#,##0.00\ ">
                  <c:v>147.6</c:v>
                </c:pt>
                <c:pt idx="116" formatCode="#,##0.00_ ;[Red]\-#,##0.00\ ">
                  <c:v>140.40945059473935</c:v>
                </c:pt>
                <c:pt idx="117" formatCode="#,##0.00_ ;[Red]\-#,##0.00\ ">
                  <c:v>143.339</c:v>
                </c:pt>
                <c:pt idx="118" formatCode="#,##0.00_ ;[Red]\-#,##0.00\ ">
                  <c:v>145.24</c:v>
                </c:pt>
                <c:pt idx="119" formatCode="#,##0.00_ ;[Red]\-#,##0.00\ ">
                  <c:v>125.50634889755564</c:v>
                </c:pt>
                <c:pt idx="120" formatCode="0.00">
                  <c:v>150.13999999999999</c:v>
                </c:pt>
                <c:pt idx="121" formatCode="0.00">
                  <c:v>193.77</c:v>
                </c:pt>
                <c:pt idx="122" formatCode="0.00">
                  <c:v>212.97</c:v>
                </c:pt>
                <c:pt idx="123" formatCode="0.00">
                  <c:v>386.71</c:v>
                </c:pt>
                <c:pt idx="124" formatCode="0.00">
                  <c:v>491.56836629431831</c:v>
                </c:pt>
                <c:pt idx="125" formatCode="0.00">
                  <c:v>272</c:v>
                </c:pt>
                <c:pt idx="126" formatCode="0.00">
                  <c:v>277.95999999999998</c:v>
                </c:pt>
                <c:pt idx="127" formatCode="0.00">
                  <c:v>227.4</c:v>
                </c:pt>
                <c:pt idx="128" formatCode="0.00">
                  <c:v>206.3</c:v>
                </c:pt>
                <c:pt idx="129" formatCode="0.00">
                  <c:v>190.25</c:v>
                </c:pt>
                <c:pt idx="130" formatCode="0.00">
                  <c:v>114.96</c:v>
                </c:pt>
                <c:pt idx="131" formatCode="0.00">
                  <c:v>65.97</c:v>
                </c:pt>
                <c:pt idx="132" formatCode="#,##0.00_ ;[Red]\-#,##0.00\ ">
                  <c:v>126.15120965027894</c:v>
                </c:pt>
                <c:pt idx="133" formatCode="#,##0.00_ ;[Red]\-#,##0.00\ ">
                  <c:v>116.69</c:v>
                </c:pt>
                <c:pt idx="134" formatCode="#,##0.00_ ;[Red]\-#,##0.00\ ">
                  <c:v>105.16</c:v>
                </c:pt>
                <c:pt idx="135" formatCode="#,##0.00_ ;[Red]\-#,##0.00\ ">
                  <c:v>120.35</c:v>
                </c:pt>
                <c:pt idx="136" formatCode="#,##0.00_ ;[Red]\-#,##0.00\ ">
                  <c:v>124.24164428149969</c:v>
                </c:pt>
                <c:pt idx="137" formatCode="#,##0.00_ ;[Red]\-#,##0.00\ ">
                  <c:v>131.08000000000001</c:v>
                </c:pt>
                <c:pt idx="138" formatCode="#,##0.00_ ;[Red]\-#,##0.00\ ">
                  <c:v>134.94008022321501</c:v>
                </c:pt>
                <c:pt idx="139" formatCode="#,##0.00_ ;[Red]\-#,##0.00\ ">
                  <c:v>133.87</c:v>
                </c:pt>
                <c:pt idx="140" formatCode="#,##0.00_ ;[Red]\-#,##0.00\ ">
                  <c:v>149.81</c:v>
                </c:pt>
                <c:pt idx="141" formatCode="#,##0.00_ ;[Red]\-#,##0.00\ ">
                  <c:v>195.9</c:v>
                </c:pt>
                <c:pt idx="142" formatCode="#,##0.00_ ;[Red]\-#,##0.00\ ">
                  <c:v>209.32</c:v>
                </c:pt>
                <c:pt idx="143" formatCode="#,##0.00_ ;[Red]\-#,##0.00\ ">
                  <c:v>295.76</c:v>
                </c:pt>
                <c:pt idx="144" formatCode="#,##0.00_ ;[Red]\-#,##0.00\ ">
                  <c:v>302.5</c:v>
                </c:pt>
                <c:pt idx="145" formatCode="#,##0.00_ ;[Red]\-#,##0.00\ ">
                  <c:v>305.75</c:v>
                </c:pt>
                <c:pt idx="146" formatCode="#,##0.00_ ;[Red]\-#,##0.00\ ">
                  <c:v>156.82123398748558</c:v>
                </c:pt>
                <c:pt idx="147" formatCode="#,##0.00_ ;[Red]\-#,##0.00\ ">
                  <c:v>157.18</c:v>
                </c:pt>
                <c:pt idx="148" formatCode="#,##0.00_ ;[Red]\-#,##0.00\ ">
                  <c:v>185.75</c:v>
                </c:pt>
                <c:pt idx="149" formatCode="#,##0.00_ ;[Red]\-#,##0.00\ ">
                  <c:v>192.8</c:v>
                </c:pt>
                <c:pt idx="150" formatCode="#,##0.00_ ;[Red]\-#,##0.00\ ">
                  <c:v>158.63</c:v>
                </c:pt>
                <c:pt idx="151" formatCode="#,##0.00_ ;[Red]\-#,##0.00\ ">
                  <c:v>155.62753687495646</c:v>
                </c:pt>
                <c:pt idx="152" formatCode="#,##0.00_ ;[Red]\-#,##0.00\ ">
                  <c:v>134.31</c:v>
                </c:pt>
                <c:pt idx="153" formatCode="#,##0.00_ ;[Red]\-#,##0.00\ ">
                  <c:v>135.07</c:v>
                </c:pt>
                <c:pt idx="154" formatCode="#,##0.00_ ;[Red]\-#,##0.00\ ">
                  <c:v>130.10900000000001</c:v>
                </c:pt>
                <c:pt idx="155" formatCode="#,##0.00_ ;[Red]\-#,##0.00\ ">
                  <c:v>124.646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1A-4DB1-9EE6-73A91C7844BA}"/>
            </c:ext>
          </c:extLst>
        </c:ser>
        <c:ser>
          <c:idx val="1"/>
          <c:order val="1"/>
          <c:tx>
            <c:v>EDECHI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'G-MM-2 PreMonCon&amp;MerOca,98-10'!$M$7:$M$162</c:f>
              <c:strCache>
                <c:ptCount val="156"/>
                <c:pt idx="0">
                  <c:v>Ene 98</c:v>
                </c:pt>
                <c:pt idx="1">
                  <c:v>Feb 98</c:v>
                </c:pt>
                <c:pt idx="2">
                  <c:v>Mar 98</c:v>
                </c:pt>
                <c:pt idx="3">
                  <c:v>Abr 98</c:v>
                </c:pt>
                <c:pt idx="4">
                  <c:v>May 98</c:v>
                </c:pt>
                <c:pt idx="5">
                  <c:v>Jun 98</c:v>
                </c:pt>
                <c:pt idx="6">
                  <c:v>Jul 98</c:v>
                </c:pt>
                <c:pt idx="7">
                  <c:v>Ago 98</c:v>
                </c:pt>
                <c:pt idx="8">
                  <c:v>Sep 98</c:v>
                </c:pt>
                <c:pt idx="9">
                  <c:v>Oct 98</c:v>
                </c:pt>
                <c:pt idx="10">
                  <c:v>Nov 98</c:v>
                </c:pt>
                <c:pt idx="11">
                  <c:v>Dic 98</c:v>
                </c:pt>
                <c:pt idx="12">
                  <c:v>Ene 99</c:v>
                </c:pt>
                <c:pt idx="13">
                  <c:v>Feb 99</c:v>
                </c:pt>
                <c:pt idx="14">
                  <c:v>Mar 99</c:v>
                </c:pt>
                <c:pt idx="15">
                  <c:v>Abr 99</c:v>
                </c:pt>
                <c:pt idx="16">
                  <c:v>May 99</c:v>
                </c:pt>
                <c:pt idx="17">
                  <c:v>Jun 99</c:v>
                </c:pt>
                <c:pt idx="18">
                  <c:v>Jul 99</c:v>
                </c:pt>
                <c:pt idx="19">
                  <c:v>Ago 99</c:v>
                </c:pt>
                <c:pt idx="20">
                  <c:v>Sep 99</c:v>
                </c:pt>
                <c:pt idx="21">
                  <c:v>Oct 99</c:v>
                </c:pt>
                <c:pt idx="22">
                  <c:v>Nov 99</c:v>
                </c:pt>
                <c:pt idx="23">
                  <c:v>Dic 99</c:v>
                </c:pt>
                <c:pt idx="24">
                  <c:v>Ene 00</c:v>
                </c:pt>
                <c:pt idx="25">
                  <c:v>Feb 00</c:v>
                </c:pt>
                <c:pt idx="26">
                  <c:v>Mar 00</c:v>
                </c:pt>
                <c:pt idx="27">
                  <c:v>Abr 00</c:v>
                </c:pt>
                <c:pt idx="28">
                  <c:v>May 00</c:v>
                </c:pt>
                <c:pt idx="29">
                  <c:v>Jun 00</c:v>
                </c:pt>
                <c:pt idx="30">
                  <c:v>Jul 00</c:v>
                </c:pt>
                <c:pt idx="31">
                  <c:v>Ago 00</c:v>
                </c:pt>
                <c:pt idx="32">
                  <c:v>Sep 00</c:v>
                </c:pt>
                <c:pt idx="33">
                  <c:v>Oct 00</c:v>
                </c:pt>
                <c:pt idx="34">
                  <c:v>Nov 00</c:v>
                </c:pt>
                <c:pt idx="35">
                  <c:v>Dic 00</c:v>
                </c:pt>
                <c:pt idx="36">
                  <c:v>Ene 01</c:v>
                </c:pt>
                <c:pt idx="37">
                  <c:v>Feb 01</c:v>
                </c:pt>
                <c:pt idx="38">
                  <c:v>Mar 01</c:v>
                </c:pt>
                <c:pt idx="39">
                  <c:v>Abr 01</c:v>
                </c:pt>
                <c:pt idx="40">
                  <c:v>May 01</c:v>
                </c:pt>
                <c:pt idx="41">
                  <c:v>Jun 01</c:v>
                </c:pt>
                <c:pt idx="42">
                  <c:v>Jul 01</c:v>
                </c:pt>
                <c:pt idx="43">
                  <c:v>Ago 01</c:v>
                </c:pt>
                <c:pt idx="44">
                  <c:v>Sep 01</c:v>
                </c:pt>
                <c:pt idx="45">
                  <c:v>Oct 01</c:v>
                </c:pt>
                <c:pt idx="46">
                  <c:v>Nov 01</c:v>
                </c:pt>
                <c:pt idx="47">
                  <c:v>Dic 01</c:v>
                </c:pt>
                <c:pt idx="48">
                  <c:v>Ene 02</c:v>
                </c:pt>
                <c:pt idx="49">
                  <c:v>Feb 02</c:v>
                </c:pt>
                <c:pt idx="50">
                  <c:v>Mar 02</c:v>
                </c:pt>
                <c:pt idx="51">
                  <c:v>Abr 02</c:v>
                </c:pt>
                <c:pt idx="52">
                  <c:v>May 02</c:v>
                </c:pt>
                <c:pt idx="53">
                  <c:v>Jun 02</c:v>
                </c:pt>
                <c:pt idx="54">
                  <c:v>Jul 02</c:v>
                </c:pt>
                <c:pt idx="55">
                  <c:v>Ago 02</c:v>
                </c:pt>
                <c:pt idx="56">
                  <c:v>Sep 02</c:v>
                </c:pt>
                <c:pt idx="57">
                  <c:v>Oct 02</c:v>
                </c:pt>
                <c:pt idx="58">
                  <c:v>Nov 02</c:v>
                </c:pt>
                <c:pt idx="59">
                  <c:v>Dic 02</c:v>
                </c:pt>
                <c:pt idx="60">
                  <c:v>Ene 03</c:v>
                </c:pt>
                <c:pt idx="61">
                  <c:v>Feb 04</c:v>
                </c:pt>
                <c:pt idx="62">
                  <c:v>Mar 03</c:v>
                </c:pt>
                <c:pt idx="63">
                  <c:v>Abr 03</c:v>
                </c:pt>
                <c:pt idx="64">
                  <c:v>May 03</c:v>
                </c:pt>
                <c:pt idx="65">
                  <c:v>Jun 03</c:v>
                </c:pt>
                <c:pt idx="66">
                  <c:v>Jul 03</c:v>
                </c:pt>
                <c:pt idx="67">
                  <c:v>Ago 03</c:v>
                </c:pt>
                <c:pt idx="68">
                  <c:v>Sep 03</c:v>
                </c:pt>
                <c:pt idx="69">
                  <c:v>Oct 03</c:v>
                </c:pt>
                <c:pt idx="70">
                  <c:v>Nov 03</c:v>
                </c:pt>
                <c:pt idx="71">
                  <c:v>Dic 03</c:v>
                </c:pt>
                <c:pt idx="72">
                  <c:v>Ene 04</c:v>
                </c:pt>
                <c:pt idx="73">
                  <c:v>Feb 04</c:v>
                </c:pt>
                <c:pt idx="74">
                  <c:v>Mar 04</c:v>
                </c:pt>
                <c:pt idx="75">
                  <c:v>Abr 04</c:v>
                </c:pt>
                <c:pt idx="76">
                  <c:v>May 04</c:v>
                </c:pt>
                <c:pt idx="77">
                  <c:v>Jun 04</c:v>
                </c:pt>
                <c:pt idx="78">
                  <c:v>Jul 04</c:v>
                </c:pt>
                <c:pt idx="79">
                  <c:v>Ago 04</c:v>
                </c:pt>
                <c:pt idx="80">
                  <c:v>Sep 04</c:v>
                </c:pt>
                <c:pt idx="81">
                  <c:v>Oct 04</c:v>
                </c:pt>
                <c:pt idx="82">
                  <c:v>Nov 04</c:v>
                </c:pt>
                <c:pt idx="83">
                  <c:v>Dic 04</c:v>
                </c:pt>
                <c:pt idx="84">
                  <c:v>Ene 05</c:v>
                </c:pt>
                <c:pt idx="85">
                  <c:v>Feb 05</c:v>
                </c:pt>
                <c:pt idx="86">
                  <c:v>Mar 05</c:v>
                </c:pt>
                <c:pt idx="87">
                  <c:v>Abr 05</c:v>
                </c:pt>
                <c:pt idx="88">
                  <c:v>May 05</c:v>
                </c:pt>
                <c:pt idx="89">
                  <c:v>Jun 05</c:v>
                </c:pt>
                <c:pt idx="90">
                  <c:v>Jul 05</c:v>
                </c:pt>
                <c:pt idx="91">
                  <c:v>Ago 05</c:v>
                </c:pt>
                <c:pt idx="92">
                  <c:v>Sep 05</c:v>
                </c:pt>
                <c:pt idx="93">
                  <c:v>Oct 05</c:v>
                </c:pt>
                <c:pt idx="94">
                  <c:v>Nov 05</c:v>
                </c:pt>
                <c:pt idx="95">
                  <c:v>Dic 05</c:v>
                </c:pt>
                <c:pt idx="96">
                  <c:v>Ene 06</c:v>
                </c:pt>
                <c:pt idx="97">
                  <c:v>Feb 06</c:v>
                </c:pt>
                <c:pt idx="98">
                  <c:v>Mar 06</c:v>
                </c:pt>
                <c:pt idx="99">
                  <c:v>Abr 06</c:v>
                </c:pt>
                <c:pt idx="100">
                  <c:v>May 06</c:v>
                </c:pt>
                <c:pt idx="101">
                  <c:v>Jun 06</c:v>
                </c:pt>
                <c:pt idx="102">
                  <c:v>Jul 06</c:v>
                </c:pt>
                <c:pt idx="103">
                  <c:v>Ago 06</c:v>
                </c:pt>
                <c:pt idx="104">
                  <c:v>Sep 06</c:v>
                </c:pt>
                <c:pt idx="105">
                  <c:v>Oct 06</c:v>
                </c:pt>
                <c:pt idx="106">
                  <c:v>Nov 06</c:v>
                </c:pt>
                <c:pt idx="107">
                  <c:v>Dic 06</c:v>
                </c:pt>
                <c:pt idx="108">
                  <c:v>Ene 07</c:v>
                </c:pt>
                <c:pt idx="109">
                  <c:v>Feb 07</c:v>
                </c:pt>
                <c:pt idx="110">
                  <c:v>Mar 07</c:v>
                </c:pt>
                <c:pt idx="111">
                  <c:v>Abr 07</c:v>
                </c:pt>
                <c:pt idx="112">
                  <c:v>May 07</c:v>
                </c:pt>
                <c:pt idx="113">
                  <c:v>Jun 07</c:v>
                </c:pt>
                <c:pt idx="114">
                  <c:v>Jul 07</c:v>
                </c:pt>
                <c:pt idx="115">
                  <c:v>Ago 07</c:v>
                </c:pt>
                <c:pt idx="116">
                  <c:v>Sep 07</c:v>
                </c:pt>
                <c:pt idx="117">
                  <c:v>Oct 07</c:v>
                </c:pt>
                <c:pt idx="118">
                  <c:v>Nov 07</c:v>
                </c:pt>
                <c:pt idx="119">
                  <c:v>Dic 07</c:v>
                </c:pt>
                <c:pt idx="120">
                  <c:v>Ene 08</c:v>
                </c:pt>
                <c:pt idx="121">
                  <c:v>Feb 08</c:v>
                </c:pt>
                <c:pt idx="122">
                  <c:v>Mar 08</c:v>
                </c:pt>
                <c:pt idx="123">
                  <c:v>Abr 08</c:v>
                </c:pt>
                <c:pt idx="124">
                  <c:v>May 08</c:v>
                </c:pt>
                <c:pt idx="125">
                  <c:v>Jun 08</c:v>
                </c:pt>
                <c:pt idx="126">
                  <c:v>Jul 08</c:v>
                </c:pt>
                <c:pt idx="127">
                  <c:v>Ago 08</c:v>
                </c:pt>
                <c:pt idx="128">
                  <c:v>Sep 08</c:v>
                </c:pt>
                <c:pt idx="129">
                  <c:v>Oct 08</c:v>
                </c:pt>
                <c:pt idx="130">
                  <c:v>Nov 08</c:v>
                </c:pt>
                <c:pt idx="131">
                  <c:v>Dic 08</c:v>
                </c:pt>
                <c:pt idx="132">
                  <c:v>Ene 09</c:v>
                </c:pt>
                <c:pt idx="133">
                  <c:v>Feb 09</c:v>
                </c:pt>
                <c:pt idx="134">
                  <c:v>Mar 09</c:v>
                </c:pt>
                <c:pt idx="135">
                  <c:v>Abr 09</c:v>
                </c:pt>
                <c:pt idx="136">
                  <c:v>May 09</c:v>
                </c:pt>
                <c:pt idx="137">
                  <c:v>Jun 09</c:v>
                </c:pt>
                <c:pt idx="138">
                  <c:v>Jul 09</c:v>
                </c:pt>
                <c:pt idx="139">
                  <c:v>Ago 09</c:v>
                </c:pt>
                <c:pt idx="140">
                  <c:v>Sep 09</c:v>
                </c:pt>
                <c:pt idx="141">
                  <c:v>Oct 09</c:v>
                </c:pt>
                <c:pt idx="142">
                  <c:v>Nov 09</c:v>
                </c:pt>
                <c:pt idx="143">
                  <c:v>Dic 09</c:v>
                </c:pt>
                <c:pt idx="144">
                  <c:v>Ene 10</c:v>
                </c:pt>
                <c:pt idx="145">
                  <c:v>Feb 10</c:v>
                </c:pt>
                <c:pt idx="146">
                  <c:v>Mar 10</c:v>
                </c:pt>
                <c:pt idx="147">
                  <c:v>Abr 10</c:v>
                </c:pt>
                <c:pt idx="148">
                  <c:v>May 10</c:v>
                </c:pt>
                <c:pt idx="149">
                  <c:v>Jun 10</c:v>
                </c:pt>
                <c:pt idx="150">
                  <c:v>Jul 10</c:v>
                </c:pt>
                <c:pt idx="151">
                  <c:v>Ago 10</c:v>
                </c:pt>
                <c:pt idx="152">
                  <c:v>Sep 10</c:v>
                </c:pt>
                <c:pt idx="153">
                  <c:v>Oct 10</c:v>
                </c:pt>
                <c:pt idx="154">
                  <c:v>Nov 10</c:v>
                </c:pt>
                <c:pt idx="155">
                  <c:v>Dic 10</c:v>
                </c:pt>
              </c:strCache>
            </c:strRef>
          </c:cat>
          <c:val>
            <c:numRef>
              <c:f>'G-MM-2 PreMonCon&amp;MerOca,98-10'!$P$7:$P$162</c:f>
              <c:numCache>
                <c:formatCode>#,##0.00</c:formatCode>
                <c:ptCount val="156"/>
                <c:pt idx="0">
                  <c:v>56.45</c:v>
                </c:pt>
                <c:pt idx="1">
                  <c:v>57.55</c:v>
                </c:pt>
                <c:pt idx="2">
                  <c:v>56.94</c:v>
                </c:pt>
                <c:pt idx="3">
                  <c:v>58.5</c:v>
                </c:pt>
                <c:pt idx="4">
                  <c:v>57.65</c:v>
                </c:pt>
                <c:pt idx="5">
                  <c:v>57.4</c:v>
                </c:pt>
                <c:pt idx="6">
                  <c:v>56.14</c:v>
                </c:pt>
                <c:pt idx="7">
                  <c:v>53.3</c:v>
                </c:pt>
                <c:pt idx="8">
                  <c:v>56.35</c:v>
                </c:pt>
                <c:pt idx="9">
                  <c:v>56.01</c:v>
                </c:pt>
                <c:pt idx="10">
                  <c:v>47.1</c:v>
                </c:pt>
                <c:pt idx="11">
                  <c:v>46.61</c:v>
                </c:pt>
                <c:pt idx="12">
                  <c:v>47.35</c:v>
                </c:pt>
                <c:pt idx="13">
                  <c:v>48.09</c:v>
                </c:pt>
                <c:pt idx="14">
                  <c:v>46.39</c:v>
                </c:pt>
                <c:pt idx="15">
                  <c:v>46.82</c:v>
                </c:pt>
                <c:pt idx="16">
                  <c:v>46.96</c:v>
                </c:pt>
                <c:pt idx="17">
                  <c:v>47.83</c:v>
                </c:pt>
                <c:pt idx="18">
                  <c:v>47.95</c:v>
                </c:pt>
                <c:pt idx="19">
                  <c:v>47.94</c:v>
                </c:pt>
                <c:pt idx="20">
                  <c:v>48.21</c:v>
                </c:pt>
                <c:pt idx="21">
                  <c:v>47.7</c:v>
                </c:pt>
                <c:pt idx="22">
                  <c:v>48.38</c:v>
                </c:pt>
                <c:pt idx="23">
                  <c:v>47.19</c:v>
                </c:pt>
                <c:pt idx="24">
                  <c:v>47.95</c:v>
                </c:pt>
                <c:pt idx="25">
                  <c:v>48.33</c:v>
                </c:pt>
                <c:pt idx="26">
                  <c:v>47.17</c:v>
                </c:pt>
                <c:pt idx="27">
                  <c:v>47.49</c:v>
                </c:pt>
                <c:pt idx="28">
                  <c:v>47.58</c:v>
                </c:pt>
                <c:pt idx="29">
                  <c:v>48.17</c:v>
                </c:pt>
                <c:pt idx="30">
                  <c:v>48.01</c:v>
                </c:pt>
                <c:pt idx="31">
                  <c:v>47.57</c:v>
                </c:pt>
                <c:pt idx="32">
                  <c:v>48.18</c:v>
                </c:pt>
                <c:pt idx="33">
                  <c:v>47.18</c:v>
                </c:pt>
                <c:pt idx="34">
                  <c:v>47.67</c:v>
                </c:pt>
                <c:pt idx="35">
                  <c:v>46.84</c:v>
                </c:pt>
                <c:pt idx="36">
                  <c:v>47.98</c:v>
                </c:pt>
                <c:pt idx="37">
                  <c:v>48.81</c:v>
                </c:pt>
                <c:pt idx="38">
                  <c:v>46.96</c:v>
                </c:pt>
                <c:pt idx="39">
                  <c:v>47.49</c:v>
                </c:pt>
                <c:pt idx="40">
                  <c:v>47.42</c:v>
                </c:pt>
                <c:pt idx="41">
                  <c:v>47.8</c:v>
                </c:pt>
                <c:pt idx="42">
                  <c:v>48.03</c:v>
                </c:pt>
                <c:pt idx="43">
                  <c:v>47.48</c:v>
                </c:pt>
                <c:pt idx="44">
                  <c:v>48.21</c:v>
                </c:pt>
                <c:pt idx="45">
                  <c:v>47.47</c:v>
                </c:pt>
                <c:pt idx="46">
                  <c:v>48.52</c:v>
                </c:pt>
                <c:pt idx="47">
                  <c:v>48.52</c:v>
                </c:pt>
                <c:pt idx="48">
                  <c:v>48.39</c:v>
                </c:pt>
                <c:pt idx="49">
                  <c:v>49.41</c:v>
                </c:pt>
                <c:pt idx="50">
                  <c:v>47.65</c:v>
                </c:pt>
                <c:pt idx="51">
                  <c:v>47.73</c:v>
                </c:pt>
                <c:pt idx="52">
                  <c:v>47.78</c:v>
                </c:pt>
                <c:pt idx="53">
                  <c:v>49</c:v>
                </c:pt>
                <c:pt idx="54">
                  <c:v>48.68</c:v>
                </c:pt>
                <c:pt idx="55">
                  <c:v>48.41</c:v>
                </c:pt>
                <c:pt idx="56">
                  <c:v>49.14</c:v>
                </c:pt>
                <c:pt idx="57">
                  <c:v>48.76</c:v>
                </c:pt>
                <c:pt idx="58">
                  <c:v>48.93</c:v>
                </c:pt>
                <c:pt idx="59">
                  <c:v>47.84</c:v>
                </c:pt>
                <c:pt idx="60">
                  <c:v>48.77</c:v>
                </c:pt>
                <c:pt idx="61">
                  <c:v>54.7</c:v>
                </c:pt>
                <c:pt idx="62">
                  <c:v>53.01</c:v>
                </c:pt>
                <c:pt idx="63">
                  <c:v>51.45</c:v>
                </c:pt>
                <c:pt idx="64">
                  <c:v>51.76</c:v>
                </c:pt>
                <c:pt idx="65">
                  <c:v>53.53</c:v>
                </c:pt>
                <c:pt idx="66">
                  <c:v>53.47</c:v>
                </c:pt>
                <c:pt idx="67">
                  <c:v>53.65</c:v>
                </c:pt>
                <c:pt idx="68">
                  <c:v>52.38</c:v>
                </c:pt>
                <c:pt idx="69">
                  <c:v>52.74</c:v>
                </c:pt>
                <c:pt idx="70">
                  <c:v>52.85</c:v>
                </c:pt>
                <c:pt idx="71">
                  <c:v>52.45</c:v>
                </c:pt>
                <c:pt idx="72" formatCode="General">
                  <c:v>58.48</c:v>
                </c:pt>
                <c:pt idx="73" formatCode="General">
                  <c:v>60.01</c:v>
                </c:pt>
                <c:pt idx="74" formatCode="General">
                  <c:v>59.37</c:v>
                </c:pt>
                <c:pt idx="75" formatCode="General">
                  <c:v>60.17</c:v>
                </c:pt>
                <c:pt idx="76" formatCode="General">
                  <c:v>63.38</c:v>
                </c:pt>
                <c:pt idx="77">
                  <c:v>62.09</c:v>
                </c:pt>
                <c:pt idx="78">
                  <c:v>64.37</c:v>
                </c:pt>
                <c:pt idx="79">
                  <c:v>67.599999999999994</c:v>
                </c:pt>
                <c:pt idx="80">
                  <c:v>68.86</c:v>
                </c:pt>
                <c:pt idx="81">
                  <c:v>74.33</c:v>
                </c:pt>
                <c:pt idx="82">
                  <c:v>71.36</c:v>
                </c:pt>
                <c:pt idx="83">
                  <c:v>65.28</c:v>
                </c:pt>
                <c:pt idx="84" formatCode="General">
                  <c:v>85.19</c:v>
                </c:pt>
                <c:pt idx="85" formatCode="General">
                  <c:v>88.47</c:v>
                </c:pt>
                <c:pt idx="86" formatCode="General">
                  <c:v>90.79</c:v>
                </c:pt>
                <c:pt idx="87" formatCode="General">
                  <c:v>90.27</c:v>
                </c:pt>
                <c:pt idx="88" formatCode="General">
                  <c:v>88.23</c:v>
                </c:pt>
                <c:pt idx="89">
                  <c:v>95.86</c:v>
                </c:pt>
                <c:pt idx="90">
                  <c:v>76.430000000000007</c:v>
                </c:pt>
                <c:pt idx="91">
                  <c:v>78.930000000000007</c:v>
                </c:pt>
                <c:pt idx="92">
                  <c:v>84.28</c:v>
                </c:pt>
                <c:pt idx="93">
                  <c:v>83.51</c:v>
                </c:pt>
                <c:pt idx="94">
                  <c:v>82.02</c:v>
                </c:pt>
                <c:pt idx="95">
                  <c:v>86.37</c:v>
                </c:pt>
                <c:pt idx="96" formatCode="#,##0.00_ ;[Red]\-#,##0.00\ ">
                  <c:v>67.750058583320083</c:v>
                </c:pt>
                <c:pt idx="97" formatCode="#,##0.00_ ;[Red]\-#,##0.00\ ">
                  <c:v>67.906095811157201</c:v>
                </c:pt>
                <c:pt idx="98" formatCode="#,##0.00_ ;[Red]\-#,##0.00\ ">
                  <c:v>63.259924721523639</c:v>
                </c:pt>
                <c:pt idx="99" formatCode="#,##0.00_ ;[Red]\-#,##0.00\ ">
                  <c:v>59.793595772653092</c:v>
                </c:pt>
                <c:pt idx="100" formatCode="#,##0.00_ ;[Red]\-#,##0.00\ ">
                  <c:v>63.15400734229673</c:v>
                </c:pt>
                <c:pt idx="101" formatCode="#,##0.00_ ;[Red]\-#,##0.00\ ">
                  <c:v>63.998503487024166</c:v>
                </c:pt>
                <c:pt idx="102" formatCode="#,##0.00_ ;[Red]\-#,##0.00\ ">
                  <c:v>65.157159979994347</c:v>
                </c:pt>
                <c:pt idx="103" formatCode="#,##0.00_ ;[Red]\-#,##0.00\ ">
                  <c:v>62.695354782935091</c:v>
                </c:pt>
                <c:pt idx="104" formatCode="#,##0.00_ ;[Red]\-#,##0.00\ ">
                  <c:v>62.460457412650449</c:v>
                </c:pt>
                <c:pt idx="105" formatCode="#,##0.00_ ;[Red]\-#,##0.00\ ">
                  <c:v>61.825930618495292</c:v>
                </c:pt>
                <c:pt idx="106" formatCode="#,##0.00_ ;[Red]\-#,##0.00\ ">
                  <c:v>64.889690010523779</c:v>
                </c:pt>
                <c:pt idx="107" formatCode="#,##0.00_ ;[Red]\-#,##0.00\ ">
                  <c:v>63.778603407952531</c:v>
                </c:pt>
                <c:pt idx="108" formatCode="#,##0.00_ ;[Red]\-#,##0.00\ ">
                  <c:v>62.403936095448934</c:v>
                </c:pt>
                <c:pt idx="109" formatCode="#,##0.00_ ;[Red]\-#,##0.00\ ">
                  <c:v>64.58383104997236</c:v>
                </c:pt>
                <c:pt idx="110" formatCode="#,##0.00_ ;[Red]\-#,##0.00\ ">
                  <c:v>61.912324198160135</c:v>
                </c:pt>
                <c:pt idx="111" formatCode="#,##0.00_ ;[Red]\-#,##0.00\ ">
                  <c:v>64.282681112566479</c:v>
                </c:pt>
                <c:pt idx="112" formatCode="#,##0.00_ ;[Red]\-#,##0.00\ ">
                  <c:v>63.640896086331381</c:v>
                </c:pt>
                <c:pt idx="113" formatCode="#,##0.00_ ;[Red]\-#,##0.00\ ">
                  <c:v>64.605580342762011</c:v>
                </c:pt>
                <c:pt idx="114" formatCode="#,##0.00_ ;[Red]\-#,##0.00\ ">
                  <c:v>63.840819360991539</c:v>
                </c:pt>
                <c:pt idx="115" formatCode="#,##0.00_ ;[Red]\-#,##0.00\ ">
                  <c:v>63.227210788286882</c:v>
                </c:pt>
                <c:pt idx="116" formatCode="#,##0.00_ ;[Red]\-#,##0.00\ ">
                  <c:v>66.123186918610543</c:v>
                </c:pt>
                <c:pt idx="117" formatCode="#,##0.00_ ;[Red]\-#,##0.00\ ">
                  <c:v>64.530239898519724</c:v>
                </c:pt>
                <c:pt idx="118" formatCode="#,##0.00_ ;[Red]\-#,##0.00\ ">
                  <c:v>66.759236865030005</c:v>
                </c:pt>
                <c:pt idx="119" formatCode="#,##0.00_ ;[Red]\-#,##0.00\ ">
                  <c:v>66.87616407388154</c:v>
                </c:pt>
                <c:pt idx="120" formatCode="#,##0.00_ ;[Red]\-#,##0.00\ ">
                  <c:v>65.798734324720783</c:v>
                </c:pt>
                <c:pt idx="121" formatCode="#,##0.00_ ;[Red]\-#,##0.00\ ">
                  <c:v>66.878899336637645</c:v>
                </c:pt>
                <c:pt idx="122" formatCode="#,##0.00_ ;[Red]\-#,##0.00\ ">
                  <c:v>67.387198303221794</c:v>
                </c:pt>
                <c:pt idx="123" formatCode="#,##0.00_ ;[Red]\-#,##0.00\ ">
                  <c:v>65.695123304657798</c:v>
                </c:pt>
                <c:pt idx="124" formatCode="#,##0.00_ ;[Red]\-#,##0.00\ ">
                  <c:v>70.069072229066606</c:v>
                </c:pt>
                <c:pt idx="125" formatCode="#,##0.00_ ;[Red]\-#,##0.00\ ">
                  <c:v>70.61203472190391</c:v>
                </c:pt>
                <c:pt idx="126" formatCode="#,##0.00_ ;[Red]\-#,##0.00\ ">
                  <c:v>69.364738609029246</c:v>
                </c:pt>
                <c:pt idx="127" formatCode="#,##0.00_ ;[Red]\-#,##0.00\ ">
                  <c:v>76.978586765972096</c:v>
                </c:pt>
                <c:pt idx="128" formatCode="#,##0.00_ ;[Red]\-#,##0.00\ ">
                  <c:v>75.68901217267171</c:v>
                </c:pt>
                <c:pt idx="129" formatCode="#,##0.00_ ;[Red]\-#,##0.00\ ">
                  <c:v>71.009930539571783</c:v>
                </c:pt>
                <c:pt idx="130" formatCode="#,##0.00_ ;[Red]\-#,##0.00\ ">
                  <c:v>69.938256312195733</c:v>
                </c:pt>
                <c:pt idx="131" formatCode="#,##0.00_ ;[Red]\-#,##0.00\ ">
                  <c:v>65.361459180205429</c:v>
                </c:pt>
                <c:pt idx="132" formatCode="#,##0.00_ ;[Red]\-#,##0.00\ ">
                  <c:v>73.160660641978353</c:v>
                </c:pt>
                <c:pt idx="133" formatCode="#,##0.00_ ;[Red]\-#,##0.00\ ">
                  <c:v>75.30090564555924</c:v>
                </c:pt>
                <c:pt idx="134" formatCode="#,##0.00_ ;[Red]\-#,##0.00\ ">
                  <c:v>71.268787950916263</c:v>
                </c:pt>
                <c:pt idx="135" formatCode="#,##0.00_ ;[Red]\-#,##0.00\ ">
                  <c:v>72.476662459969305</c:v>
                </c:pt>
                <c:pt idx="136" formatCode="#,##0.00_ ;[Red]\-#,##0.00\ ">
                  <c:v>72.678445389322633</c:v>
                </c:pt>
                <c:pt idx="137" formatCode="#,##0.00_ ;[Red]\-#,##0.00\ ">
                  <c:v>73.652522497155033</c:v>
                </c:pt>
                <c:pt idx="138" formatCode="#,##0.00_ ;[Red]\-#,##0.00\ ">
                  <c:v>73.072858391802811</c:v>
                </c:pt>
                <c:pt idx="139" formatCode="#,##0.00_ ;[Red]\-#,##0.00\ ">
                  <c:v>72.327579697153965</c:v>
                </c:pt>
                <c:pt idx="140" formatCode="#,##0.00_ ;[Red]\-#,##0.00\ ">
                  <c:v>71.753600537044491</c:v>
                </c:pt>
                <c:pt idx="141" formatCode="#,##0.00_ ;[Red]\-#,##0.00\ ">
                  <c:v>70.439991816999992</c:v>
                </c:pt>
                <c:pt idx="142" formatCode="#,##0.00_ ;[Red]\-#,##0.00\ ">
                  <c:v>74.794511750324645</c:v>
                </c:pt>
                <c:pt idx="143" formatCode="#,##0.00_ ;[Red]\-#,##0.00\ ">
                  <c:v>72.653828032427612</c:v>
                </c:pt>
                <c:pt idx="144" formatCode="#,##0.00_ ;[Red]\-#,##0.00\ ">
                  <c:v>85.526019763643021</c:v>
                </c:pt>
                <c:pt idx="145" formatCode="#,##0.00_ ;[Red]\-#,##0.00\ ">
                  <c:v>86.618138355854512</c:v>
                </c:pt>
                <c:pt idx="146" formatCode="#,##0.00_ ;[Red]\-#,##0.00\ ">
                  <c:v>72.466570003660237</c:v>
                </c:pt>
                <c:pt idx="147" formatCode="#,##0.00_ ;[Red]\-#,##0.00\ ">
                  <c:v>73.997518604671782</c:v>
                </c:pt>
                <c:pt idx="148" formatCode="#,##0.00_ ;[Red]\-#,##0.00\ ">
                  <c:v>77.114204580988016</c:v>
                </c:pt>
                <c:pt idx="149" formatCode="#,##0.00_ ;[Red]\-#,##0.00\ ">
                  <c:v>79.946521520422024</c:v>
                </c:pt>
                <c:pt idx="150" formatCode="#,##0.00_ ;[Red]\-#,##0.00\ ">
                  <c:v>77.035013314312053</c:v>
                </c:pt>
                <c:pt idx="151" formatCode="#,##0.00_ ;[Red]\-#,##0.00\ ">
                  <c:v>76.201241594429916</c:v>
                </c:pt>
                <c:pt idx="152" formatCode="#,##0.00_ ;[Red]\-#,##0.00\ ">
                  <c:v>74.979739782105852</c:v>
                </c:pt>
                <c:pt idx="153" formatCode="#,##0.00_ ;[Red]\-#,##0.00\ ">
                  <c:v>72.260470914476485</c:v>
                </c:pt>
                <c:pt idx="154" formatCode="#,##0.00_ ;[Red]\-#,##0.00\ ">
                  <c:v>73.547987188246267</c:v>
                </c:pt>
                <c:pt idx="155" formatCode="#,##0.00_ ;[Red]\-#,##0.00\ ">
                  <c:v>72.510000000000005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1A-4DB1-9EE6-73A91C7844BA}"/>
            </c:ext>
          </c:extLst>
        </c:ser>
        <c:ser>
          <c:idx val="2"/>
          <c:order val="2"/>
          <c:tx>
            <c:v>EDEMET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'G-MM-2 PreMonCon&amp;MerOca,98-10'!$M$7:$M$162</c:f>
              <c:strCache>
                <c:ptCount val="156"/>
                <c:pt idx="0">
                  <c:v>Ene 98</c:v>
                </c:pt>
                <c:pt idx="1">
                  <c:v>Feb 98</c:v>
                </c:pt>
                <c:pt idx="2">
                  <c:v>Mar 98</c:v>
                </c:pt>
                <c:pt idx="3">
                  <c:v>Abr 98</c:v>
                </c:pt>
                <c:pt idx="4">
                  <c:v>May 98</c:v>
                </c:pt>
                <c:pt idx="5">
                  <c:v>Jun 98</c:v>
                </c:pt>
                <c:pt idx="6">
                  <c:v>Jul 98</c:v>
                </c:pt>
                <c:pt idx="7">
                  <c:v>Ago 98</c:v>
                </c:pt>
                <c:pt idx="8">
                  <c:v>Sep 98</c:v>
                </c:pt>
                <c:pt idx="9">
                  <c:v>Oct 98</c:v>
                </c:pt>
                <c:pt idx="10">
                  <c:v>Nov 98</c:v>
                </c:pt>
                <c:pt idx="11">
                  <c:v>Dic 98</c:v>
                </c:pt>
                <c:pt idx="12">
                  <c:v>Ene 99</c:v>
                </c:pt>
                <c:pt idx="13">
                  <c:v>Feb 99</c:v>
                </c:pt>
                <c:pt idx="14">
                  <c:v>Mar 99</c:v>
                </c:pt>
                <c:pt idx="15">
                  <c:v>Abr 99</c:v>
                </c:pt>
                <c:pt idx="16">
                  <c:v>May 99</c:v>
                </c:pt>
                <c:pt idx="17">
                  <c:v>Jun 99</c:v>
                </c:pt>
                <c:pt idx="18">
                  <c:v>Jul 99</c:v>
                </c:pt>
                <c:pt idx="19">
                  <c:v>Ago 99</c:v>
                </c:pt>
                <c:pt idx="20">
                  <c:v>Sep 99</c:v>
                </c:pt>
                <c:pt idx="21">
                  <c:v>Oct 99</c:v>
                </c:pt>
                <c:pt idx="22">
                  <c:v>Nov 99</c:v>
                </c:pt>
                <c:pt idx="23">
                  <c:v>Dic 99</c:v>
                </c:pt>
                <c:pt idx="24">
                  <c:v>Ene 00</c:v>
                </c:pt>
                <c:pt idx="25">
                  <c:v>Feb 00</c:v>
                </c:pt>
                <c:pt idx="26">
                  <c:v>Mar 00</c:v>
                </c:pt>
                <c:pt idx="27">
                  <c:v>Abr 00</c:v>
                </c:pt>
                <c:pt idx="28">
                  <c:v>May 00</c:v>
                </c:pt>
                <c:pt idx="29">
                  <c:v>Jun 00</c:v>
                </c:pt>
                <c:pt idx="30">
                  <c:v>Jul 00</c:v>
                </c:pt>
                <c:pt idx="31">
                  <c:v>Ago 00</c:v>
                </c:pt>
                <c:pt idx="32">
                  <c:v>Sep 00</c:v>
                </c:pt>
                <c:pt idx="33">
                  <c:v>Oct 00</c:v>
                </c:pt>
                <c:pt idx="34">
                  <c:v>Nov 00</c:v>
                </c:pt>
                <c:pt idx="35">
                  <c:v>Dic 00</c:v>
                </c:pt>
                <c:pt idx="36">
                  <c:v>Ene 01</c:v>
                </c:pt>
                <c:pt idx="37">
                  <c:v>Feb 01</c:v>
                </c:pt>
                <c:pt idx="38">
                  <c:v>Mar 01</c:v>
                </c:pt>
                <c:pt idx="39">
                  <c:v>Abr 01</c:v>
                </c:pt>
                <c:pt idx="40">
                  <c:v>May 01</c:v>
                </c:pt>
                <c:pt idx="41">
                  <c:v>Jun 01</c:v>
                </c:pt>
                <c:pt idx="42">
                  <c:v>Jul 01</c:v>
                </c:pt>
                <c:pt idx="43">
                  <c:v>Ago 01</c:v>
                </c:pt>
                <c:pt idx="44">
                  <c:v>Sep 01</c:v>
                </c:pt>
                <c:pt idx="45">
                  <c:v>Oct 01</c:v>
                </c:pt>
                <c:pt idx="46">
                  <c:v>Nov 01</c:v>
                </c:pt>
                <c:pt idx="47">
                  <c:v>Dic 01</c:v>
                </c:pt>
                <c:pt idx="48">
                  <c:v>Ene 02</c:v>
                </c:pt>
                <c:pt idx="49">
                  <c:v>Feb 02</c:v>
                </c:pt>
                <c:pt idx="50">
                  <c:v>Mar 02</c:v>
                </c:pt>
                <c:pt idx="51">
                  <c:v>Abr 02</c:v>
                </c:pt>
                <c:pt idx="52">
                  <c:v>May 02</c:v>
                </c:pt>
                <c:pt idx="53">
                  <c:v>Jun 02</c:v>
                </c:pt>
                <c:pt idx="54">
                  <c:v>Jul 02</c:v>
                </c:pt>
                <c:pt idx="55">
                  <c:v>Ago 02</c:v>
                </c:pt>
                <c:pt idx="56">
                  <c:v>Sep 02</c:v>
                </c:pt>
                <c:pt idx="57">
                  <c:v>Oct 02</c:v>
                </c:pt>
                <c:pt idx="58">
                  <c:v>Nov 02</c:v>
                </c:pt>
                <c:pt idx="59">
                  <c:v>Dic 02</c:v>
                </c:pt>
                <c:pt idx="60">
                  <c:v>Ene 03</c:v>
                </c:pt>
                <c:pt idx="61">
                  <c:v>Feb 04</c:v>
                </c:pt>
                <c:pt idx="62">
                  <c:v>Mar 03</c:v>
                </c:pt>
                <c:pt idx="63">
                  <c:v>Abr 03</c:v>
                </c:pt>
                <c:pt idx="64">
                  <c:v>May 03</c:v>
                </c:pt>
                <c:pt idx="65">
                  <c:v>Jun 03</c:v>
                </c:pt>
                <c:pt idx="66">
                  <c:v>Jul 03</c:v>
                </c:pt>
                <c:pt idx="67">
                  <c:v>Ago 03</c:v>
                </c:pt>
                <c:pt idx="68">
                  <c:v>Sep 03</c:v>
                </c:pt>
                <c:pt idx="69">
                  <c:v>Oct 03</c:v>
                </c:pt>
                <c:pt idx="70">
                  <c:v>Nov 03</c:v>
                </c:pt>
                <c:pt idx="71">
                  <c:v>Dic 03</c:v>
                </c:pt>
                <c:pt idx="72">
                  <c:v>Ene 04</c:v>
                </c:pt>
                <c:pt idx="73">
                  <c:v>Feb 04</c:v>
                </c:pt>
                <c:pt idx="74">
                  <c:v>Mar 04</c:v>
                </c:pt>
                <c:pt idx="75">
                  <c:v>Abr 04</c:v>
                </c:pt>
                <c:pt idx="76">
                  <c:v>May 04</c:v>
                </c:pt>
                <c:pt idx="77">
                  <c:v>Jun 04</c:v>
                </c:pt>
                <c:pt idx="78">
                  <c:v>Jul 04</c:v>
                </c:pt>
                <c:pt idx="79">
                  <c:v>Ago 04</c:v>
                </c:pt>
                <c:pt idx="80">
                  <c:v>Sep 04</c:v>
                </c:pt>
                <c:pt idx="81">
                  <c:v>Oct 04</c:v>
                </c:pt>
                <c:pt idx="82">
                  <c:v>Nov 04</c:v>
                </c:pt>
                <c:pt idx="83">
                  <c:v>Dic 04</c:v>
                </c:pt>
                <c:pt idx="84">
                  <c:v>Ene 05</c:v>
                </c:pt>
                <c:pt idx="85">
                  <c:v>Feb 05</c:v>
                </c:pt>
                <c:pt idx="86">
                  <c:v>Mar 05</c:v>
                </c:pt>
                <c:pt idx="87">
                  <c:v>Abr 05</c:v>
                </c:pt>
                <c:pt idx="88">
                  <c:v>May 05</c:v>
                </c:pt>
                <c:pt idx="89">
                  <c:v>Jun 05</c:v>
                </c:pt>
                <c:pt idx="90">
                  <c:v>Jul 05</c:v>
                </c:pt>
                <c:pt idx="91">
                  <c:v>Ago 05</c:v>
                </c:pt>
                <c:pt idx="92">
                  <c:v>Sep 05</c:v>
                </c:pt>
                <c:pt idx="93">
                  <c:v>Oct 05</c:v>
                </c:pt>
                <c:pt idx="94">
                  <c:v>Nov 05</c:v>
                </c:pt>
                <c:pt idx="95">
                  <c:v>Dic 05</c:v>
                </c:pt>
                <c:pt idx="96">
                  <c:v>Ene 06</c:v>
                </c:pt>
                <c:pt idx="97">
                  <c:v>Feb 06</c:v>
                </c:pt>
                <c:pt idx="98">
                  <c:v>Mar 06</c:v>
                </c:pt>
                <c:pt idx="99">
                  <c:v>Abr 06</c:v>
                </c:pt>
                <c:pt idx="100">
                  <c:v>May 06</c:v>
                </c:pt>
                <c:pt idx="101">
                  <c:v>Jun 06</c:v>
                </c:pt>
                <c:pt idx="102">
                  <c:v>Jul 06</c:v>
                </c:pt>
                <c:pt idx="103">
                  <c:v>Ago 06</c:v>
                </c:pt>
                <c:pt idx="104">
                  <c:v>Sep 06</c:v>
                </c:pt>
                <c:pt idx="105">
                  <c:v>Oct 06</c:v>
                </c:pt>
                <c:pt idx="106">
                  <c:v>Nov 06</c:v>
                </c:pt>
                <c:pt idx="107">
                  <c:v>Dic 06</c:v>
                </c:pt>
                <c:pt idx="108">
                  <c:v>Ene 07</c:v>
                </c:pt>
                <c:pt idx="109">
                  <c:v>Feb 07</c:v>
                </c:pt>
                <c:pt idx="110">
                  <c:v>Mar 07</c:v>
                </c:pt>
                <c:pt idx="111">
                  <c:v>Abr 07</c:v>
                </c:pt>
                <c:pt idx="112">
                  <c:v>May 07</c:v>
                </c:pt>
                <c:pt idx="113">
                  <c:v>Jun 07</c:v>
                </c:pt>
                <c:pt idx="114">
                  <c:v>Jul 07</c:v>
                </c:pt>
                <c:pt idx="115">
                  <c:v>Ago 07</c:v>
                </c:pt>
                <c:pt idx="116">
                  <c:v>Sep 07</c:v>
                </c:pt>
                <c:pt idx="117">
                  <c:v>Oct 07</c:v>
                </c:pt>
                <c:pt idx="118">
                  <c:v>Nov 07</c:v>
                </c:pt>
                <c:pt idx="119">
                  <c:v>Dic 07</c:v>
                </c:pt>
                <c:pt idx="120">
                  <c:v>Ene 08</c:v>
                </c:pt>
                <c:pt idx="121">
                  <c:v>Feb 08</c:v>
                </c:pt>
                <c:pt idx="122">
                  <c:v>Mar 08</c:v>
                </c:pt>
                <c:pt idx="123">
                  <c:v>Abr 08</c:v>
                </c:pt>
                <c:pt idx="124">
                  <c:v>May 08</c:v>
                </c:pt>
                <c:pt idx="125">
                  <c:v>Jun 08</c:v>
                </c:pt>
                <c:pt idx="126">
                  <c:v>Jul 08</c:v>
                </c:pt>
                <c:pt idx="127">
                  <c:v>Ago 08</c:v>
                </c:pt>
                <c:pt idx="128">
                  <c:v>Sep 08</c:v>
                </c:pt>
                <c:pt idx="129">
                  <c:v>Oct 08</c:v>
                </c:pt>
                <c:pt idx="130">
                  <c:v>Nov 08</c:v>
                </c:pt>
                <c:pt idx="131">
                  <c:v>Dic 08</c:v>
                </c:pt>
                <c:pt idx="132">
                  <c:v>Ene 09</c:v>
                </c:pt>
                <c:pt idx="133">
                  <c:v>Feb 09</c:v>
                </c:pt>
                <c:pt idx="134">
                  <c:v>Mar 09</c:v>
                </c:pt>
                <c:pt idx="135">
                  <c:v>Abr 09</c:v>
                </c:pt>
                <c:pt idx="136">
                  <c:v>May 09</c:v>
                </c:pt>
                <c:pt idx="137">
                  <c:v>Jun 09</c:v>
                </c:pt>
                <c:pt idx="138">
                  <c:v>Jul 09</c:v>
                </c:pt>
                <c:pt idx="139">
                  <c:v>Ago 09</c:v>
                </c:pt>
                <c:pt idx="140">
                  <c:v>Sep 09</c:v>
                </c:pt>
                <c:pt idx="141">
                  <c:v>Oct 09</c:v>
                </c:pt>
                <c:pt idx="142">
                  <c:v>Nov 09</c:v>
                </c:pt>
                <c:pt idx="143">
                  <c:v>Dic 09</c:v>
                </c:pt>
                <c:pt idx="144">
                  <c:v>Ene 10</c:v>
                </c:pt>
                <c:pt idx="145">
                  <c:v>Feb 10</c:v>
                </c:pt>
                <c:pt idx="146">
                  <c:v>Mar 10</c:v>
                </c:pt>
                <c:pt idx="147">
                  <c:v>Abr 10</c:v>
                </c:pt>
                <c:pt idx="148">
                  <c:v>May 10</c:v>
                </c:pt>
                <c:pt idx="149">
                  <c:v>Jun 10</c:v>
                </c:pt>
                <c:pt idx="150">
                  <c:v>Jul 10</c:v>
                </c:pt>
                <c:pt idx="151">
                  <c:v>Ago 10</c:v>
                </c:pt>
                <c:pt idx="152">
                  <c:v>Sep 10</c:v>
                </c:pt>
                <c:pt idx="153">
                  <c:v>Oct 10</c:v>
                </c:pt>
                <c:pt idx="154">
                  <c:v>Nov 10</c:v>
                </c:pt>
                <c:pt idx="155">
                  <c:v>Dic 10</c:v>
                </c:pt>
              </c:strCache>
            </c:strRef>
          </c:cat>
          <c:val>
            <c:numRef>
              <c:f>'G-MM-2 PreMonCon&amp;MerOca,98-10'!$O$7:$O$162</c:f>
              <c:numCache>
                <c:formatCode>#,##0.00</c:formatCode>
                <c:ptCount val="156"/>
                <c:pt idx="0">
                  <c:v>62.46</c:v>
                </c:pt>
                <c:pt idx="1">
                  <c:v>63.81</c:v>
                </c:pt>
                <c:pt idx="2">
                  <c:v>63.07</c:v>
                </c:pt>
                <c:pt idx="3">
                  <c:v>64.97</c:v>
                </c:pt>
                <c:pt idx="4">
                  <c:v>63.92</c:v>
                </c:pt>
                <c:pt idx="5">
                  <c:v>63.62</c:v>
                </c:pt>
                <c:pt idx="6">
                  <c:v>61.87</c:v>
                </c:pt>
                <c:pt idx="7">
                  <c:v>61.66</c:v>
                </c:pt>
                <c:pt idx="8">
                  <c:v>62.06</c:v>
                </c:pt>
                <c:pt idx="9">
                  <c:v>60.23</c:v>
                </c:pt>
                <c:pt idx="10">
                  <c:v>54.59</c:v>
                </c:pt>
                <c:pt idx="11">
                  <c:v>52.92</c:v>
                </c:pt>
                <c:pt idx="12">
                  <c:v>53.48</c:v>
                </c:pt>
                <c:pt idx="13">
                  <c:v>56.53</c:v>
                </c:pt>
                <c:pt idx="14">
                  <c:v>54.13</c:v>
                </c:pt>
                <c:pt idx="15">
                  <c:v>55.43</c:v>
                </c:pt>
                <c:pt idx="16">
                  <c:v>55.88</c:v>
                </c:pt>
                <c:pt idx="17">
                  <c:v>56.08</c:v>
                </c:pt>
                <c:pt idx="18">
                  <c:v>59.38</c:v>
                </c:pt>
                <c:pt idx="19">
                  <c:v>59.13</c:v>
                </c:pt>
                <c:pt idx="20">
                  <c:v>60.48</c:v>
                </c:pt>
                <c:pt idx="21">
                  <c:v>59.61</c:v>
                </c:pt>
                <c:pt idx="22">
                  <c:v>58.61</c:v>
                </c:pt>
                <c:pt idx="23">
                  <c:v>58.26</c:v>
                </c:pt>
                <c:pt idx="24">
                  <c:v>56.96</c:v>
                </c:pt>
                <c:pt idx="25">
                  <c:v>57.14</c:v>
                </c:pt>
                <c:pt idx="26">
                  <c:v>56.26</c:v>
                </c:pt>
                <c:pt idx="27">
                  <c:v>56.39</c:v>
                </c:pt>
                <c:pt idx="28">
                  <c:v>55.74</c:v>
                </c:pt>
                <c:pt idx="29">
                  <c:v>57.21</c:v>
                </c:pt>
                <c:pt idx="30">
                  <c:v>60.28</c:v>
                </c:pt>
                <c:pt idx="31">
                  <c:v>59.8</c:v>
                </c:pt>
                <c:pt idx="32">
                  <c:v>61.33</c:v>
                </c:pt>
                <c:pt idx="33">
                  <c:v>62.82</c:v>
                </c:pt>
                <c:pt idx="34">
                  <c:v>63.76</c:v>
                </c:pt>
                <c:pt idx="35">
                  <c:v>61.43</c:v>
                </c:pt>
                <c:pt idx="36">
                  <c:v>65.03</c:v>
                </c:pt>
                <c:pt idx="37">
                  <c:v>67.06</c:v>
                </c:pt>
                <c:pt idx="38">
                  <c:v>63.7</c:v>
                </c:pt>
                <c:pt idx="39">
                  <c:v>62.68</c:v>
                </c:pt>
                <c:pt idx="40">
                  <c:v>61.51</c:v>
                </c:pt>
                <c:pt idx="41">
                  <c:v>62.26</c:v>
                </c:pt>
                <c:pt idx="42">
                  <c:v>60.64</c:v>
                </c:pt>
                <c:pt idx="43">
                  <c:v>58.87</c:v>
                </c:pt>
                <c:pt idx="44">
                  <c:v>60.66</c:v>
                </c:pt>
                <c:pt idx="45">
                  <c:v>58.94</c:v>
                </c:pt>
                <c:pt idx="46">
                  <c:v>58.3</c:v>
                </c:pt>
                <c:pt idx="47">
                  <c:v>58.14</c:v>
                </c:pt>
                <c:pt idx="48">
                  <c:v>59.59</c:v>
                </c:pt>
                <c:pt idx="49">
                  <c:v>61.44</c:v>
                </c:pt>
                <c:pt idx="50">
                  <c:v>59.75</c:v>
                </c:pt>
                <c:pt idx="51">
                  <c:v>61.79</c:v>
                </c:pt>
                <c:pt idx="52">
                  <c:v>61.76</c:v>
                </c:pt>
                <c:pt idx="53">
                  <c:v>63.1</c:v>
                </c:pt>
                <c:pt idx="54">
                  <c:v>62.48</c:v>
                </c:pt>
                <c:pt idx="55">
                  <c:v>62.83</c:v>
                </c:pt>
                <c:pt idx="56">
                  <c:v>64.41</c:v>
                </c:pt>
                <c:pt idx="57">
                  <c:v>65.06</c:v>
                </c:pt>
                <c:pt idx="58">
                  <c:v>64.489999999999995</c:v>
                </c:pt>
                <c:pt idx="59">
                  <c:v>62.95</c:v>
                </c:pt>
                <c:pt idx="60">
                  <c:v>69.010000000000005</c:v>
                </c:pt>
                <c:pt idx="61">
                  <c:v>70.069999999999993</c:v>
                </c:pt>
                <c:pt idx="62">
                  <c:v>68.319999999999993</c:v>
                </c:pt>
                <c:pt idx="63">
                  <c:v>62.94</c:v>
                </c:pt>
                <c:pt idx="64">
                  <c:v>61.62</c:v>
                </c:pt>
                <c:pt idx="65">
                  <c:v>63.6</c:v>
                </c:pt>
                <c:pt idx="66">
                  <c:v>64.14</c:v>
                </c:pt>
                <c:pt idx="67">
                  <c:v>65.290000000000006</c:v>
                </c:pt>
                <c:pt idx="68">
                  <c:v>63.91</c:v>
                </c:pt>
                <c:pt idx="69">
                  <c:v>63.7</c:v>
                </c:pt>
                <c:pt idx="70">
                  <c:v>65.069999999999993</c:v>
                </c:pt>
                <c:pt idx="71">
                  <c:v>63.88</c:v>
                </c:pt>
                <c:pt idx="72" formatCode="General">
                  <c:v>66.430000000000007</c:v>
                </c:pt>
                <c:pt idx="73" formatCode="General">
                  <c:v>67.62</c:v>
                </c:pt>
                <c:pt idx="74" formatCode="General">
                  <c:v>65.25</c:v>
                </c:pt>
                <c:pt idx="75" formatCode="General">
                  <c:v>66.319999999999993</c:v>
                </c:pt>
                <c:pt idx="76" formatCode="General">
                  <c:v>67.34</c:v>
                </c:pt>
                <c:pt idx="77">
                  <c:v>68.47</c:v>
                </c:pt>
                <c:pt idx="78">
                  <c:v>68.31</c:v>
                </c:pt>
                <c:pt idx="79">
                  <c:v>69.12</c:v>
                </c:pt>
                <c:pt idx="80">
                  <c:v>70.709999999999994</c:v>
                </c:pt>
                <c:pt idx="81">
                  <c:v>73.41</c:v>
                </c:pt>
                <c:pt idx="82">
                  <c:v>74.66</c:v>
                </c:pt>
                <c:pt idx="83">
                  <c:v>69.8</c:v>
                </c:pt>
                <c:pt idx="84" formatCode="General">
                  <c:v>70.760000000000005</c:v>
                </c:pt>
                <c:pt idx="85" formatCode="General">
                  <c:v>65.290000000000006</c:v>
                </c:pt>
                <c:pt idx="86" formatCode="General">
                  <c:v>63.44</c:v>
                </c:pt>
                <c:pt idx="87" formatCode="General">
                  <c:v>63.15</c:v>
                </c:pt>
                <c:pt idx="88" formatCode="General">
                  <c:v>62.77</c:v>
                </c:pt>
                <c:pt idx="89">
                  <c:v>64.760000000000005</c:v>
                </c:pt>
                <c:pt idx="90">
                  <c:v>66.58</c:v>
                </c:pt>
                <c:pt idx="91">
                  <c:v>67.959999999999994</c:v>
                </c:pt>
                <c:pt idx="92">
                  <c:v>68.61</c:v>
                </c:pt>
                <c:pt idx="93">
                  <c:v>67.569999999999993</c:v>
                </c:pt>
                <c:pt idx="94">
                  <c:v>68.06</c:v>
                </c:pt>
                <c:pt idx="95">
                  <c:v>67.11</c:v>
                </c:pt>
                <c:pt idx="96" formatCode="#,##0.00_ ;[Red]\-#,##0.00\ ">
                  <c:v>74.941537518113208</c:v>
                </c:pt>
                <c:pt idx="97" formatCode="#,##0.00_ ;[Red]\-#,##0.00\ ">
                  <c:v>70.95498070126196</c:v>
                </c:pt>
                <c:pt idx="98" formatCode="#,##0.00_ ;[Red]\-#,##0.00\ ">
                  <c:v>66.232702708647295</c:v>
                </c:pt>
                <c:pt idx="99" formatCode="#,##0.00_ ;[Red]\-#,##0.00\ ">
                  <c:v>71.540140021048572</c:v>
                </c:pt>
                <c:pt idx="100" formatCode="#,##0.00_ ;[Red]\-#,##0.00\ ">
                  <c:v>69.733380114342211</c:v>
                </c:pt>
                <c:pt idx="101" formatCode="#,##0.00_ ;[Red]\-#,##0.00\ ">
                  <c:v>69.346564547982098</c:v>
                </c:pt>
                <c:pt idx="102" formatCode="#,##0.00_ ;[Red]\-#,##0.00\ ">
                  <c:v>68.848170146476946</c:v>
                </c:pt>
                <c:pt idx="103" formatCode="#,##0.00_ ;[Red]\-#,##0.00\ ">
                  <c:v>68.628966916875427</c:v>
                </c:pt>
                <c:pt idx="104" formatCode="#,##0.00_ ;[Red]\-#,##0.00\ ">
                  <c:v>68.204215216074672</c:v>
                </c:pt>
                <c:pt idx="105" formatCode="#,##0.00_ ;[Red]\-#,##0.00\ ">
                  <c:v>67.238470619154356</c:v>
                </c:pt>
                <c:pt idx="106" formatCode="#,##0.00_ ;[Red]\-#,##0.00\ ">
                  <c:v>69.58405020007794</c:v>
                </c:pt>
                <c:pt idx="107" formatCode="#,##0.00_ ;[Red]\-#,##0.00\ ">
                  <c:v>68.145216503065384</c:v>
                </c:pt>
                <c:pt idx="108" formatCode="#,##0.00_ ;[Red]\-#,##0.00\ ">
                  <c:v>71.573970519999293</c:v>
                </c:pt>
                <c:pt idx="109" formatCode="#,##0.00_ ;[Red]\-#,##0.00\ ">
                  <c:v>74.733691892156855</c:v>
                </c:pt>
                <c:pt idx="110" formatCode="#,##0.00_ ;[Red]\-#,##0.00\ ">
                  <c:v>77.870331156169854</c:v>
                </c:pt>
                <c:pt idx="111" formatCode="#,##0.00_ ;[Red]\-#,##0.00\ ">
                  <c:v>93.77029837733788</c:v>
                </c:pt>
                <c:pt idx="112" formatCode="#,##0.00_ ;[Red]\-#,##0.00\ ">
                  <c:v>89.495702292459754</c:v>
                </c:pt>
                <c:pt idx="113" formatCode="#,##0.00_ ;[Red]\-#,##0.00\ ">
                  <c:v>78.040512917934365</c:v>
                </c:pt>
                <c:pt idx="114" formatCode="#,##0.00_ ;[Red]\-#,##0.00\ ">
                  <c:v>79.824483304279298</c:v>
                </c:pt>
                <c:pt idx="115" formatCode="#,##0.00_ ;[Red]\-#,##0.00\ ">
                  <c:v>80.535653618100881</c:v>
                </c:pt>
                <c:pt idx="116" formatCode="#,##0.00_ ;[Red]\-#,##0.00\ ">
                  <c:v>76.591049294098227</c:v>
                </c:pt>
                <c:pt idx="117" formatCode="#,##0.00_ ;[Red]\-#,##0.00\ ">
                  <c:v>74.606006917897531</c:v>
                </c:pt>
                <c:pt idx="118" formatCode="#,##0.00_ ;[Red]\-#,##0.00\ ">
                  <c:v>77.515479968501893</c:v>
                </c:pt>
                <c:pt idx="119" formatCode="#,##0.00_ ;[Red]\-#,##0.00\ ">
                  <c:v>77.689862719614126</c:v>
                </c:pt>
                <c:pt idx="120" formatCode="#,##0.00_ ;[Red]\-#,##0.00\ ">
                  <c:v>77.673216887490469</c:v>
                </c:pt>
                <c:pt idx="121" formatCode="#,##0.00_ ;[Red]\-#,##0.00\ ">
                  <c:v>87.686503308174593</c:v>
                </c:pt>
                <c:pt idx="122" formatCode="#,##0.00_ ;[Red]\-#,##0.00\ ">
                  <c:v>86.555211701921692</c:v>
                </c:pt>
                <c:pt idx="123" formatCode="#,##0.00_ ;[Red]\-#,##0.00\ ">
                  <c:v>106.17628298064109</c:v>
                </c:pt>
                <c:pt idx="124" formatCode="#,##0.00_ ;[Red]\-#,##0.00\ ">
                  <c:v>114.60440956711743</c:v>
                </c:pt>
                <c:pt idx="125" formatCode="#,##0.00_ ;[Red]\-#,##0.00\ ">
                  <c:v>94.881256557776055</c:v>
                </c:pt>
                <c:pt idx="126" formatCode="#,##0.00_ ;[Red]\-#,##0.00\ ">
                  <c:v>92.122277910948483</c:v>
                </c:pt>
                <c:pt idx="127" formatCode="#,##0.00_ ;[Red]\-#,##0.00\ ">
                  <c:v>90.160574615558176</c:v>
                </c:pt>
                <c:pt idx="128" formatCode="#,##0.00_ ;[Red]\-#,##0.00\ ">
                  <c:v>86.582692677409725</c:v>
                </c:pt>
                <c:pt idx="129" formatCode="#,##0.00_ ;[Red]\-#,##0.00\ ">
                  <c:v>76.917821229444812</c:v>
                </c:pt>
                <c:pt idx="130" formatCode="#,##0.00_ ;[Red]\-#,##0.00\ ">
                  <c:v>75.456029222615498</c:v>
                </c:pt>
                <c:pt idx="131" formatCode="#,##0.00_ ;[Red]\-#,##0.00\ ">
                  <c:v>73.4283755189944</c:v>
                </c:pt>
                <c:pt idx="132" formatCode="#,##0.00_ ;[Red]\-#,##0.00\ ">
                  <c:v>86.882070225810025</c:v>
                </c:pt>
                <c:pt idx="133" formatCode="#,##0.00_ ;[Red]\-#,##0.00\ ">
                  <c:v>90.785031067378128</c:v>
                </c:pt>
                <c:pt idx="134" formatCode="#,##0.00_ ;[Red]\-#,##0.00\ ">
                  <c:v>83.198881558284072</c:v>
                </c:pt>
                <c:pt idx="135" formatCode="#,##0.00_ ;[Red]\-#,##0.00\ ">
                  <c:v>86.919247190424528</c:v>
                </c:pt>
                <c:pt idx="136" formatCode="#,##0.00_ ;[Red]\-#,##0.00\ ">
                  <c:v>87.865066896707503</c:v>
                </c:pt>
                <c:pt idx="137" formatCode="#,##0.00_ ;[Red]\-#,##0.00\ ">
                  <c:v>104.41416896217591</c:v>
                </c:pt>
                <c:pt idx="138" formatCode="#,##0.00_ ;[Red]\-#,##0.00\ ">
                  <c:v>103.2720671246846</c:v>
                </c:pt>
                <c:pt idx="139" formatCode="#,##0.00_ ;[Red]\-#,##0.00\ ">
                  <c:v>102.19148481887628</c:v>
                </c:pt>
                <c:pt idx="140" formatCode="#,##0.00_ ;[Red]\-#,##0.00\ ">
                  <c:v>99.856558516428223</c:v>
                </c:pt>
                <c:pt idx="141" formatCode="#,##0.00_ ;[Red]\-#,##0.00\ ">
                  <c:v>105.29207717783309</c:v>
                </c:pt>
                <c:pt idx="142" formatCode="#,##0.00_ ;[Red]\-#,##0.00\ ">
                  <c:v>110.50567507487723</c:v>
                </c:pt>
                <c:pt idx="143" formatCode="#,##0.00_ ;[Red]\-#,##0.00\ ">
                  <c:v>120.59310119732748</c:v>
                </c:pt>
                <c:pt idx="144" formatCode="#,##0.00_ ;[Red]\-#,##0.00\ ">
                  <c:v>119.09094657235629</c:v>
                </c:pt>
                <c:pt idx="145" formatCode="#,##0.00_ ;[Red]\-#,##0.00\ ">
                  <c:v>128.63581691490009</c:v>
                </c:pt>
                <c:pt idx="146" formatCode="#,##0.00_ ;[Red]\-#,##0.00\ ">
                  <c:v>101.6837019853478</c:v>
                </c:pt>
                <c:pt idx="147" formatCode="#,##0.00_ ;[Red]\-#,##0.00\ ">
                  <c:v>104.25412017894305</c:v>
                </c:pt>
                <c:pt idx="148" formatCode="#,##0.00_ ;[Red]\-#,##0.00\ ">
                  <c:v>110.52517440309352</c:v>
                </c:pt>
                <c:pt idx="149" formatCode="#,##0.00_ ;[Red]\-#,##0.00\ ">
                  <c:v>116.04933062069068</c:v>
                </c:pt>
                <c:pt idx="150" formatCode="#,##0.00_ ;[Red]\-#,##0.00\ ">
                  <c:v>106.25268584324873</c:v>
                </c:pt>
                <c:pt idx="151" formatCode="#,##0.00_ ;[Red]\-#,##0.00\ ">
                  <c:v>105.89646070552489</c:v>
                </c:pt>
                <c:pt idx="152" formatCode="#,##0.00_ ;[Red]\-#,##0.00\ ">
                  <c:v>101.11231238843524</c:v>
                </c:pt>
                <c:pt idx="153" formatCode="#,##0.00_ ;[Red]\-#,##0.00\ ">
                  <c:v>97.811812058085835</c:v>
                </c:pt>
                <c:pt idx="154" formatCode="#,##0.00_ ;[Red]\-#,##0.00\ ">
                  <c:v>98.67629448686678</c:v>
                </c:pt>
                <c:pt idx="155" formatCode="#,##0.00_ ;[Red]\-#,##0.00\ ">
                  <c:v>99.65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51A-4DB1-9EE6-73A91C7844BA}"/>
            </c:ext>
          </c:extLst>
        </c:ser>
        <c:ser>
          <c:idx val="3"/>
          <c:order val="3"/>
          <c:tx>
            <c:v>ENSA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'G-MM-2 PreMonCon&amp;MerOca,98-10'!$M$7:$M$162</c:f>
              <c:strCache>
                <c:ptCount val="156"/>
                <c:pt idx="0">
                  <c:v>Ene 98</c:v>
                </c:pt>
                <c:pt idx="1">
                  <c:v>Feb 98</c:v>
                </c:pt>
                <c:pt idx="2">
                  <c:v>Mar 98</c:v>
                </c:pt>
                <c:pt idx="3">
                  <c:v>Abr 98</c:v>
                </c:pt>
                <c:pt idx="4">
                  <c:v>May 98</c:v>
                </c:pt>
                <c:pt idx="5">
                  <c:v>Jun 98</c:v>
                </c:pt>
                <c:pt idx="6">
                  <c:v>Jul 98</c:v>
                </c:pt>
                <c:pt idx="7">
                  <c:v>Ago 98</c:v>
                </c:pt>
                <c:pt idx="8">
                  <c:v>Sep 98</c:v>
                </c:pt>
                <c:pt idx="9">
                  <c:v>Oct 98</c:v>
                </c:pt>
                <c:pt idx="10">
                  <c:v>Nov 98</c:v>
                </c:pt>
                <c:pt idx="11">
                  <c:v>Dic 98</c:v>
                </c:pt>
                <c:pt idx="12">
                  <c:v>Ene 99</c:v>
                </c:pt>
                <c:pt idx="13">
                  <c:v>Feb 99</c:v>
                </c:pt>
                <c:pt idx="14">
                  <c:v>Mar 99</c:v>
                </c:pt>
                <c:pt idx="15">
                  <c:v>Abr 99</c:v>
                </c:pt>
                <c:pt idx="16">
                  <c:v>May 99</c:v>
                </c:pt>
                <c:pt idx="17">
                  <c:v>Jun 99</c:v>
                </c:pt>
                <c:pt idx="18">
                  <c:v>Jul 99</c:v>
                </c:pt>
                <c:pt idx="19">
                  <c:v>Ago 99</c:v>
                </c:pt>
                <c:pt idx="20">
                  <c:v>Sep 99</c:v>
                </c:pt>
                <c:pt idx="21">
                  <c:v>Oct 99</c:v>
                </c:pt>
                <c:pt idx="22">
                  <c:v>Nov 99</c:v>
                </c:pt>
                <c:pt idx="23">
                  <c:v>Dic 99</c:v>
                </c:pt>
                <c:pt idx="24">
                  <c:v>Ene 00</c:v>
                </c:pt>
                <c:pt idx="25">
                  <c:v>Feb 00</c:v>
                </c:pt>
                <c:pt idx="26">
                  <c:v>Mar 00</c:v>
                </c:pt>
                <c:pt idx="27">
                  <c:v>Abr 00</c:v>
                </c:pt>
                <c:pt idx="28">
                  <c:v>May 00</c:v>
                </c:pt>
                <c:pt idx="29">
                  <c:v>Jun 00</c:v>
                </c:pt>
                <c:pt idx="30">
                  <c:v>Jul 00</c:v>
                </c:pt>
                <c:pt idx="31">
                  <c:v>Ago 00</c:v>
                </c:pt>
                <c:pt idx="32">
                  <c:v>Sep 00</c:v>
                </c:pt>
                <c:pt idx="33">
                  <c:v>Oct 00</c:v>
                </c:pt>
                <c:pt idx="34">
                  <c:v>Nov 00</c:v>
                </c:pt>
                <c:pt idx="35">
                  <c:v>Dic 00</c:v>
                </c:pt>
                <c:pt idx="36">
                  <c:v>Ene 01</c:v>
                </c:pt>
                <c:pt idx="37">
                  <c:v>Feb 01</c:v>
                </c:pt>
                <c:pt idx="38">
                  <c:v>Mar 01</c:v>
                </c:pt>
                <c:pt idx="39">
                  <c:v>Abr 01</c:v>
                </c:pt>
                <c:pt idx="40">
                  <c:v>May 01</c:v>
                </c:pt>
                <c:pt idx="41">
                  <c:v>Jun 01</c:v>
                </c:pt>
                <c:pt idx="42">
                  <c:v>Jul 01</c:v>
                </c:pt>
                <c:pt idx="43">
                  <c:v>Ago 01</c:v>
                </c:pt>
                <c:pt idx="44">
                  <c:v>Sep 01</c:v>
                </c:pt>
                <c:pt idx="45">
                  <c:v>Oct 01</c:v>
                </c:pt>
                <c:pt idx="46">
                  <c:v>Nov 01</c:v>
                </c:pt>
                <c:pt idx="47">
                  <c:v>Dic 01</c:v>
                </c:pt>
                <c:pt idx="48">
                  <c:v>Ene 02</c:v>
                </c:pt>
                <c:pt idx="49">
                  <c:v>Feb 02</c:v>
                </c:pt>
                <c:pt idx="50">
                  <c:v>Mar 02</c:v>
                </c:pt>
                <c:pt idx="51">
                  <c:v>Abr 02</c:v>
                </c:pt>
                <c:pt idx="52">
                  <c:v>May 02</c:v>
                </c:pt>
                <c:pt idx="53">
                  <c:v>Jun 02</c:v>
                </c:pt>
                <c:pt idx="54">
                  <c:v>Jul 02</c:v>
                </c:pt>
                <c:pt idx="55">
                  <c:v>Ago 02</c:v>
                </c:pt>
                <c:pt idx="56">
                  <c:v>Sep 02</c:v>
                </c:pt>
                <c:pt idx="57">
                  <c:v>Oct 02</c:v>
                </c:pt>
                <c:pt idx="58">
                  <c:v>Nov 02</c:v>
                </c:pt>
                <c:pt idx="59">
                  <c:v>Dic 02</c:v>
                </c:pt>
                <c:pt idx="60">
                  <c:v>Ene 03</c:v>
                </c:pt>
                <c:pt idx="61">
                  <c:v>Feb 04</c:v>
                </c:pt>
                <c:pt idx="62">
                  <c:v>Mar 03</c:v>
                </c:pt>
                <c:pt idx="63">
                  <c:v>Abr 03</c:v>
                </c:pt>
                <c:pt idx="64">
                  <c:v>May 03</c:v>
                </c:pt>
                <c:pt idx="65">
                  <c:v>Jun 03</c:v>
                </c:pt>
                <c:pt idx="66">
                  <c:v>Jul 03</c:v>
                </c:pt>
                <c:pt idx="67">
                  <c:v>Ago 03</c:v>
                </c:pt>
                <c:pt idx="68">
                  <c:v>Sep 03</c:v>
                </c:pt>
                <c:pt idx="69">
                  <c:v>Oct 03</c:v>
                </c:pt>
                <c:pt idx="70">
                  <c:v>Nov 03</c:v>
                </c:pt>
                <c:pt idx="71">
                  <c:v>Dic 03</c:v>
                </c:pt>
                <c:pt idx="72">
                  <c:v>Ene 04</c:v>
                </c:pt>
                <c:pt idx="73">
                  <c:v>Feb 04</c:v>
                </c:pt>
                <c:pt idx="74">
                  <c:v>Mar 04</c:v>
                </c:pt>
                <c:pt idx="75">
                  <c:v>Abr 04</c:v>
                </c:pt>
                <c:pt idx="76">
                  <c:v>May 04</c:v>
                </c:pt>
                <c:pt idx="77">
                  <c:v>Jun 04</c:v>
                </c:pt>
                <c:pt idx="78">
                  <c:v>Jul 04</c:v>
                </c:pt>
                <c:pt idx="79">
                  <c:v>Ago 04</c:v>
                </c:pt>
                <c:pt idx="80">
                  <c:v>Sep 04</c:v>
                </c:pt>
                <c:pt idx="81">
                  <c:v>Oct 04</c:v>
                </c:pt>
                <c:pt idx="82">
                  <c:v>Nov 04</c:v>
                </c:pt>
                <c:pt idx="83">
                  <c:v>Dic 04</c:v>
                </c:pt>
                <c:pt idx="84">
                  <c:v>Ene 05</c:v>
                </c:pt>
                <c:pt idx="85">
                  <c:v>Feb 05</c:v>
                </c:pt>
                <c:pt idx="86">
                  <c:v>Mar 05</c:v>
                </c:pt>
                <c:pt idx="87">
                  <c:v>Abr 05</c:v>
                </c:pt>
                <c:pt idx="88">
                  <c:v>May 05</c:v>
                </c:pt>
                <c:pt idx="89">
                  <c:v>Jun 05</c:v>
                </c:pt>
                <c:pt idx="90">
                  <c:v>Jul 05</c:v>
                </c:pt>
                <c:pt idx="91">
                  <c:v>Ago 05</c:v>
                </c:pt>
                <c:pt idx="92">
                  <c:v>Sep 05</c:v>
                </c:pt>
                <c:pt idx="93">
                  <c:v>Oct 05</c:v>
                </c:pt>
                <c:pt idx="94">
                  <c:v>Nov 05</c:v>
                </c:pt>
                <c:pt idx="95">
                  <c:v>Dic 05</c:v>
                </c:pt>
                <c:pt idx="96">
                  <c:v>Ene 06</c:v>
                </c:pt>
                <c:pt idx="97">
                  <c:v>Feb 06</c:v>
                </c:pt>
                <c:pt idx="98">
                  <c:v>Mar 06</c:v>
                </c:pt>
                <c:pt idx="99">
                  <c:v>Abr 06</c:v>
                </c:pt>
                <c:pt idx="100">
                  <c:v>May 06</c:v>
                </c:pt>
                <c:pt idx="101">
                  <c:v>Jun 06</c:v>
                </c:pt>
                <c:pt idx="102">
                  <c:v>Jul 06</c:v>
                </c:pt>
                <c:pt idx="103">
                  <c:v>Ago 06</c:v>
                </c:pt>
                <c:pt idx="104">
                  <c:v>Sep 06</c:v>
                </c:pt>
                <c:pt idx="105">
                  <c:v>Oct 06</c:v>
                </c:pt>
                <c:pt idx="106">
                  <c:v>Nov 06</c:v>
                </c:pt>
                <c:pt idx="107">
                  <c:v>Dic 06</c:v>
                </c:pt>
                <c:pt idx="108">
                  <c:v>Ene 07</c:v>
                </c:pt>
                <c:pt idx="109">
                  <c:v>Feb 07</c:v>
                </c:pt>
                <c:pt idx="110">
                  <c:v>Mar 07</c:v>
                </c:pt>
                <c:pt idx="111">
                  <c:v>Abr 07</c:v>
                </c:pt>
                <c:pt idx="112">
                  <c:v>May 07</c:v>
                </c:pt>
                <c:pt idx="113">
                  <c:v>Jun 07</c:v>
                </c:pt>
                <c:pt idx="114">
                  <c:v>Jul 07</c:v>
                </c:pt>
                <c:pt idx="115">
                  <c:v>Ago 07</c:v>
                </c:pt>
                <c:pt idx="116">
                  <c:v>Sep 07</c:v>
                </c:pt>
                <c:pt idx="117">
                  <c:v>Oct 07</c:v>
                </c:pt>
                <c:pt idx="118">
                  <c:v>Nov 07</c:v>
                </c:pt>
                <c:pt idx="119">
                  <c:v>Dic 07</c:v>
                </c:pt>
                <c:pt idx="120">
                  <c:v>Ene 08</c:v>
                </c:pt>
                <c:pt idx="121">
                  <c:v>Feb 08</c:v>
                </c:pt>
                <c:pt idx="122">
                  <c:v>Mar 08</c:v>
                </c:pt>
                <c:pt idx="123">
                  <c:v>Abr 08</c:v>
                </c:pt>
                <c:pt idx="124">
                  <c:v>May 08</c:v>
                </c:pt>
                <c:pt idx="125">
                  <c:v>Jun 08</c:v>
                </c:pt>
                <c:pt idx="126">
                  <c:v>Jul 08</c:v>
                </c:pt>
                <c:pt idx="127">
                  <c:v>Ago 08</c:v>
                </c:pt>
                <c:pt idx="128">
                  <c:v>Sep 08</c:v>
                </c:pt>
                <c:pt idx="129">
                  <c:v>Oct 08</c:v>
                </c:pt>
                <c:pt idx="130">
                  <c:v>Nov 08</c:v>
                </c:pt>
                <c:pt idx="131">
                  <c:v>Dic 08</c:v>
                </c:pt>
                <c:pt idx="132">
                  <c:v>Ene 09</c:v>
                </c:pt>
                <c:pt idx="133">
                  <c:v>Feb 09</c:v>
                </c:pt>
                <c:pt idx="134">
                  <c:v>Mar 09</c:v>
                </c:pt>
                <c:pt idx="135">
                  <c:v>Abr 09</c:v>
                </c:pt>
                <c:pt idx="136">
                  <c:v>May 09</c:v>
                </c:pt>
                <c:pt idx="137">
                  <c:v>Jun 09</c:v>
                </c:pt>
                <c:pt idx="138">
                  <c:v>Jul 09</c:v>
                </c:pt>
                <c:pt idx="139">
                  <c:v>Ago 09</c:v>
                </c:pt>
                <c:pt idx="140">
                  <c:v>Sep 09</c:v>
                </c:pt>
                <c:pt idx="141">
                  <c:v>Oct 09</c:v>
                </c:pt>
                <c:pt idx="142">
                  <c:v>Nov 09</c:v>
                </c:pt>
                <c:pt idx="143">
                  <c:v>Dic 09</c:v>
                </c:pt>
                <c:pt idx="144">
                  <c:v>Ene 10</c:v>
                </c:pt>
                <c:pt idx="145">
                  <c:v>Feb 10</c:v>
                </c:pt>
                <c:pt idx="146">
                  <c:v>Mar 10</c:v>
                </c:pt>
                <c:pt idx="147">
                  <c:v>Abr 10</c:v>
                </c:pt>
                <c:pt idx="148">
                  <c:v>May 10</c:v>
                </c:pt>
                <c:pt idx="149">
                  <c:v>Jun 10</c:v>
                </c:pt>
                <c:pt idx="150">
                  <c:v>Jul 10</c:v>
                </c:pt>
                <c:pt idx="151">
                  <c:v>Ago 10</c:v>
                </c:pt>
                <c:pt idx="152">
                  <c:v>Sep 10</c:v>
                </c:pt>
                <c:pt idx="153">
                  <c:v>Oct 10</c:v>
                </c:pt>
                <c:pt idx="154">
                  <c:v>Nov 10</c:v>
                </c:pt>
                <c:pt idx="155">
                  <c:v>Dic 10</c:v>
                </c:pt>
              </c:strCache>
            </c:strRef>
          </c:cat>
          <c:val>
            <c:numRef>
              <c:f>'G-MM-2 PreMonCon&amp;MerOca,98-10'!$Q$7:$Q$162</c:f>
              <c:numCache>
                <c:formatCode>#,##0.00</c:formatCode>
                <c:ptCount val="156"/>
                <c:pt idx="0">
                  <c:v>62.05</c:v>
                </c:pt>
                <c:pt idx="1">
                  <c:v>63.3</c:v>
                </c:pt>
                <c:pt idx="2">
                  <c:v>62.61</c:v>
                </c:pt>
                <c:pt idx="3">
                  <c:v>64.37</c:v>
                </c:pt>
                <c:pt idx="4">
                  <c:v>63.4</c:v>
                </c:pt>
                <c:pt idx="5">
                  <c:v>63.12</c:v>
                </c:pt>
                <c:pt idx="6">
                  <c:v>59.4</c:v>
                </c:pt>
                <c:pt idx="7">
                  <c:v>59.32</c:v>
                </c:pt>
                <c:pt idx="8">
                  <c:v>58.87</c:v>
                </c:pt>
                <c:pt idx="9">
                  <c:v>58.76</c:v>
                </c:pt>
                <c:pt idx="10">
                  <c:v>53.36</c:v>
                </c:pt>
                <c:pt idx="11">
                  <c:v>51.2</c:v>
                </c:pt>
                <c:pt idx="12">
                  <c:v>51.12</c:v>
                </c:pt>
                <c:pt idx="13">
                  <c:v>55.31</c:v>
                </c:pt>
                <c:pt idx="14">
                  <c:v>53.64</c:v>
                </c:pt>
                <c:pt idx="15">
                  <c:v>54.28</c:v>
                </c:pt>
                <c:pt idx="16">
                  <c:v>54.48</c:v>
                </c:pt>
                <c:pt idx="17">
                  <c:v>55.15</c:v>
                </c:pt>
                <c:pt idx="18">
                  <c:v>56.1</c:v>
                </c:pt>
                <c:pt idx="19">
                  <c:v>56.97</c:v>
                </c:pt>
                <c:pt idx="20">
                  <c:v>58.66</c:v>
                </c:pt>
                <c:pt idx="21">
                  <c:v>58.66</c:v>
                </c:pt>
                <c:pt idx="22">
                  <c:v>59.64</c:v>
                </c:pt>
                <c:pt idx="23">
                  <c:v>59.37</c:v>
                </c:pt>
                <c:pt idx="24">
                  <c:v>58.18</c:v>
                </c:pt>
                <c:pt idx="25">
                  <c:v>59.42</c:v>
                </c:pt>
                <c:pt idx="26">
                  <c:v>58.61</c:v>
                </c:pt>
                <c:pt idx="27">
                  <c:v>58.24</c:v>
                </c:pt>
                <c:pt idx="28">
                  <c:v>57.8</c:v>
                </c:pt>
                <c:pt idx="29">
                  <c:v>60.29</c:v>
                </c:pt>
                <c:pt idx="30">
                  <c:v>60.23</c:v>
                </c:pt>
                <c:pt idx="31">
                  <c:v>59.58</c:v>
                </c:pt>
                <c:pt idx="32">
                  <c:v>61.18</c:v>
                </c:pt>
                <c:pt idx="33">
                  <c:v>59.31</c:v>
                </c:pt>
                <c:pt idx="34">
                  <c:v>59.14</c:v>
                </c:pt>
                <c:pt idx="35">
                  <c:v>57.63</c:v>
                </c:pt>
                <c:pt idx="36">
                  <c:v>60.36</c:v>
                </c:pt>
                <c:pt idx="37">
                  <c:v>61.9</c:v>
                </c:pt>
                <c:pt idx="38">
                  <c:v>59.38</c:v>
                </c:pt>
                <c:pt idx="39">
                  <c:v>59.21</c:v>
                </c:pt>
                <c:pt idx="40">
                  <c:v>58.4</c:v>
                </c:pt>
                <c:pt idx="41">
                  <c:v>59.03</c:v>
                </c:pt>
                <c:pt idx="42">
                  <c:v>58.66</c:v>
                </c:pt>
                <c:pt idx="43">
                  <c:v>58.09</c:v>
                </c:pt>
                <c:pt idx="44">
                  <c:v>59.95</c:v>
                </c:pt>
                <c:pt idx="45">
                  <c:v>58.34</c:v>
                </c:pt>
                <c:pt idx="46">
                  <c:v>57.57</c:v>
                </c:pt>
                <c:pt idx="47">
                  <c:v>56.78</c:v>
                </c:pt>
                <c:pt idx="48">
                  <c:v>56.55</c:v>
                </c:pt>
                <c:pt idx="49">
                  <c:v>59.07</c:v>
                </c:pt>
                <c:pt idx="50">
                  <c:v>57.89</c:v>
                </c:pt>
                <c:pt idx="51">
                  <c:v>59.89</c:v>
                </c:pt>
                <c:pt idx="52">
                  <c:v>60.26</c:v>
                </c:pt>
                <c:pt idx="53">
                  <c:v>61.18</c:v>
                </c:pt>
                <c:pt idx="54">
                  <c:v>60.97</c:v>
                </c:pt>
                <c:pt idx="55">
                  <c:v>61.02</c:v>
                </c:pt>
                <c:pt idx="56">
                  <c:v>62.31</c:v>
                </c:pt>
                <c:pt idx="57">
                  <c:v>63.16</c:v>
                </c:pt>
                <c:pt idx="58">
                  <c:v>62.46</c:v>
                </c:pt>
                <c:pt idx="59">
                  <c:v>61.18</c:v>
                </c:pt>
                <c:pt idx="60">
                  <c:v>68.849999999999994</c:v>
                </c:pt>
                <c:pt idx="61">
                  <c:v>70.69</c:v>
                </c:pt>
                <c:pt idx="62">
                  <c:v>67.38</c:v>
                </c:pt>
                <c:pt idx="63">
                  <c:v>62.9</c:v>
                </c:pt>
                <c:pt idx="64">
                  <c:v>61.09</c:v>
                </c:pt>
                <c:pt idx="65">
                  <c:v>63.69</c:v>
                </c:pt>
                <c:pt idx="66">
                  <c:v>64.290000000000006</c:v>
                </c:pt>
                <c:pt idx="67">
                  <c:v>65.44</c:v>
                </c:pt>
                <c:pt idx="68">
                  <c:v>64.78</c:v>
                </c:pt>
                <c:pt idx="69">
                  <c:v>63.95</c:v>
                </c:pt>
                <c:pt idx="70">
                  <c:v>65.69</c:v>
                </c:pt>
                <c:pt idx="71">
                  <c:v>63.58</c:v>
                </c:pt>
                <c:pt idx="72" formatCode="General">
                  <c:v>57.95</c:v>
                </c:pt>
                <c:pt idx="73" formatCode="General">
                  <c:v>59.29</c:v>
                </c:pt>
                <c:pt idx="74" formatCode="General">
                  <c:v>55.61</c:v>
                </c:pt>
                <c:pt idx="75" formatCode="General">
                  <c:v>56.91</c:v>
                </c:pt>
                <c:pt idx="76" formatCode="General">
                  <c:v>56.41</c:v>
                </c:pt>
                <c:pt idx="77">
                  <c:v>57.71</c:v>
                </c:pt>
                <c:pt idx="78">
                  <c:v>57.29</c:v>
                </c:pt>
                <c:pt idx="79">
                  <c:v>57</c:v>
                </c:pt>
                <c:pt idx="80">
                  <c:v>57.71</c:v>
                </c:pt>
                <c:pt idx="81">
                  <c:v>57.11</c:v>
                </c:pt>
                <c:pt idx="82">
                  <c:v>58.87</c:v>
                </c:pt>
                <c:pt idx="83">
                  <c:v>55.23</c:v>
                </c:pt>
                <c:pt idx="84" formatCode="General">
                  <c:v>70.98</c:v>
                </c:pt>
                <c:pt idx="85" formatCode="0.00">
                  <c:v>75.7</c:v>
                </c:pt>
                <c:pt idx="86" formatCode="General">
                  <c:v>68.91</c:v>
                </c:pt>
                <c:pt idx="87" formatCode="General">
                  <c:v>68.849999999999994</c:v>
                </c:pt>
                <c:pt idx="88" formatCode="General">
                  <c:v>68.89</c:v>
                </c:pt>
                <c:pt idx="89">
                  <c:v>69.97</c:v>
                </c:pt>
                <c:pt idx="90">
                  <c:v>68.569999999999993</c:v>
                </c:pt>
                <c:pt idx="91">
                  <c:v>68.739999999999995</c:v>
                </c:pt>
                <c:pt idx="92">
                  <c:v>70.08</c:v>
                </c:pt>
                <c:pt idx="93">
                  <c:v>69.209999999999994</c:v>
                </c:pt>
                <c:pt idx="94">
                  <c:v>71.75</c:v>
                </c:pt>
                <c:pt idx="95">
                  <c:v>68.52</c:v>
                </c:pt>
                <c:pt idx="96" formatCode="#,##0.00_ ;[Red]\-#,##0.00\ ">
                  <c:v>96.010178387634966</c:v>
                </c:pt>
                <c:pt idx="97" formatCode="#,##0.00_ ;[Red]\-#,##0.00\ ">
                  <c:v>98.906133265671471</c:v>
                </c:pt>
                <c:pt idx="98" formatCode="#,##0.00_ ;[Red]\-#,##0.00\ ">
                  <c:v>94.931446155340154</c:v>
                </c:pt>
                <c:pt idx="99" formatCode="#,##0.00_ ;[Red]\-#,##0.00\ ">
                  <c:v>96.528831145991333</c:v>
                </c:pt>
                <c:pt idx="100" formatCode="#,##0.00_ ;[Red]\-#,##0.00\ ">
                  <c:v>96.079380445304935</c:v>
                </c:pt>
                <c:pt idx="101" formatCode="#,##0.00_ ;[Red]\-#,##0.00\ ">
                  <c:v>93.467145343777204</c:v>
                </c:pt>
                <c:pt idx="102" formatCode="#,##0.00_ ;[Red]\-#,##0.00\ ">
                  <c:v>94.919550020255315</c:v>
                </c:pt>
                <c:pt idx="103" formatCode="#,##0.00_ ;[Red]\-#,##0.00\ ">
                  <c:v>93.536776447855189</c:v>
                </c:pt>
                <c:pt idx="104" formatCode="#,##0.00_ ;[Red]\-#,##0.00\ ">
                  <c:v>84.128541276494545</c:v>
                </c:pt>
                <c:pt idx="105" formatCode="#,##0.00_ ;[Red]\-#,##0.00\ ">
                  <c:v>84.534320143476137</c:v>
                </c:pt>
                <c:pt idx="106" formatCode="#,##0.00_ ;[Red]\-#,##0.00\ ">
                  <c:v>85.719621181806048</c:v>
                </c:pt>
                <c:pt idx="107" formatCode="#,##0.00_ ;[Red]\-#,##0.00\ ">
                  <c:v>84.12666526210576</c:v>
                </c:pt>
                <c:pt idx="108" formatCode="#,##0.00_ ;[Red]\-#,##0.00\ ">
                  <c:v>88.138462985608129</c:v>
                </c:pt>
                <c:pt idx="109" formatCode="#,##0.00_ ;[Red]\-#,##0.00\ ">
                  <c:v>94.339149776009521</c:v>
                </c:pt>
                <c:pt idx="110" formatCode="#,##0.00_ ;[Red]\-#,##0.00\ ">
                  <c:v>91.383921109811126</c:v>
                </c:pt>
                <c:pt idx="111" formatCode="#,##0.00_ ;[Red]\-#,##0.00\ ">
                  <c:v>102.52252911918073</c:v>
                </c:pt>
                <c:pt idx="112" formatCode="#,##0.00_ ;[Red]\-#,##0.00\ ">
                  <c:v>104.05776626638412</c:v>
                </c:pt>
                <c:pt idx="113" formatCode="#,##0.00_ ;[Red]\-#,##0.00\ ">
                  <c:v>104.81741238608568</c:v>
                </c:pt>
                <c:pt idx="114" formatCode="#,##0.00_ ;[Red]\-#,##0.00\ ">
                  <c:v>109.70529239314921</c:v>
                </c:pt>
                <c:pt idx="115" formatCode="#,##0.00_ ;[Red]\-#,##0.00\ ">
                  <c:v>106.26962183155166</c:v>
                </c:pt>
                <c:pt idx="116" formatCode="#,##0.00_ ;[Red]\-#,##0.00\ ">
                  <c:v>106.34637250403942</c:v>
                </c:pt>
                <c:pt idx="117" formatCode="#,##0.00_ ;[Red]\-#,##0.00\ ">
                  <c:v>111.99023199023199</c:v>
                </c:pt>
                <c:pt idx="118" formatCode="#,##0.00_ ;[Red]\-#,##0.00\ ">
                  <c:v>117.94406102433709</c:v>
                </c:pt>
                <c:pt idx="119" formatCode="#,##0.00_ ;[Red]\-#,##0.00\ ">
                  <c:v>111.50015212501184</c:v>
                </c:pt>
                <c:pt idx="120" formatCode="#,##0.00_ ;[Red]\-#,##0.00\ ">
                  <c:v>123.49847570233078</c:v>
                </c:pt>
                <c:pt idx="121" formatCode="#,##0.00_ ;[Red]\-#,##0.00\ ">
                  <c:v>131.12727368379521</c:v>
                </c:pt>
                <c:pt idx="122" formatCode="#,##0.00_ ;[Red]\-#,##0.00\ ">
                  <c:v>134.34256366052509</c:v>
                </c:pt>
                <c:pt idx="123" formatCode="#,##0.00_ ;[Red]\-#,##0.00\ ">
                  <c:v>139.98650456900396</c:v>
                </c:pt>
                <c:pt idx="124" formatCode="#,##0.00_ ;[Red]\-#,##0.00\ ">
                  <c:v>152.20798691563309</c:v>
                </c:pt>
                <c:pt idx="125" formatCode="#,##0.00_ ;[Red]\-#,##0.00\ ">
                  <c:v>160.52579924144089</c:v>
                </c:pt>
                <c:pt idx="126" formatCode="#,##0.00_ ;[Red]\-#,##0.00\ ">
                  <c:v>173.13610338020916</c:v>
                </c:pt>
                <c:pt idx="127" formatCode="#,##0.00_ ;[Red]\-#,##0.00\ ">
                  <c:v>155.80433996177288</c:v>
                </c:pt>
                <c:pt idx="128" formatCode="#,##0.00_ ;[Red]\-#,##0.00\ ">
                  <c:v>140.13791437449902</c:v>
                </c:pt>
                <c:pt idx="129" formatCode="#,##0.00_ ;[Red]\-#,##0.00\ ">
                  <c:v>114.03292779835921</c:v>
                </c:pt>
                <c:pt idx="130" formatCode="#,##0.00_ ;[Red]\-#,##0.00\ ">
                  <c:v>88.146131992876832</c:v>
                </c:pt>
                <c:pt idx="131" formatCode="#,##0.00_ ;[Red]\-#,##0.00\ ">
                  <c:v>79.78048015980535</c:v>
                </c:pt>
                <c:pt idx="132" formatCode="#,##0.00_ ;[Red]\-#,##0.00\ ">
                  <c:v>97.763923850119255</c:v>
                </c:pt>
                <c:pt idx="133" formatCode="#,##0.00_ ;[Red]\-#,##0.00\ ">
                  <c:v>104.39125340468418</c:v>
                </c:pt>
                <c:pt idx="134" formatCode="#,##0.00_ ;[Red]\-#,##0.00\ ">
                  <c:v>95.385005666470065</c:v>
                </c:pt>
                <c:pt idx="135" formatCode="#,##0.00_ ;[Red]\-#,##0.00\ ">
                  <c:v>103.28120702240358</c:v>
                </c:pt>
                <c:pt idx="136" formatCode="#,##0.00_ ;[Red]\-#,##0.00\ ">
                  <c:v>108.38250979279981</c:v>
                </c:pt>
                <c:pt idx="137" formatCode="#,##0.00_ ;[Red]\-#,##0.00\ ">
                  <c:v>114.30730760728351</c:v>
                </c:pt>
                <c:pt idx="138" formatCode="#,##0.00_ ;[Red]\-#,##0.00\ ">
                  <c:v>112.36610153345447</c:v>
                </c:pt>
                <c:pt idx="139" formatCode="#,##0.00_ ;[Red]\-#,##0.00\ ">
                  <c:v>118.56274390974559</c:v>
                </c:pt>
                <c:pt idx="140" formatCode="#,##0.00_ ;[Red]\-#,##0.00\ ">
                  <c:v>112.26395243377979</c:v>
                </c:pt>
                <c:pt idx="141" formatCode="#,##0.00_ ;[Red]\-#,##0.00\ ">
                  <c:v>114.27565450160756</c:v>
                </c:pt>
                <c:pt idx="142" formatCode="#,##0.00_ ;[Red]\-#,##0.00\ ">
                  <c:v>120.21838146484663</c:v>
                </c:pt>
                <c:pt idx="143" formatCode="#,##0.00_ ;[Red]\-#,##0.00\ ">
                  <c:v>117.65183574190908</c:v>
                </c:pt>
                <c:pt idx="144" formatCode="#,##0.00_ ;[Red]\-#,##0.00\ ">
                  <c:v>111.27135724528794</c:v>
                </c:pt>
                <c:pt idx="145" formatCode="#,##0.00_ ;[Red]\-#,##0.00\ ">
                  <c:v>114.85977205397465</c:v>
                </c:pt>
                <c:pt idx="146" formatCode="#,##0.00_ ;[Red]\-#,##0.00\ ">
                  <c:v>109.83227624228603</c:v>
                </c:pt>
                <c:pt idx="147" formatCode="#,##0.00_ ;[Red]\-#,##0.00\ ">
                  <c:v>118.09436929169831</c:v>
                </c:pt>
                <c:pt idx="148" formatCode="#,##0.00_ ;[Red]\-#,##0.00\ ">
                  <c:v>115.4724874174785</c:v>
                </c:pt>
                <c:pt idx="149" formatCode="#,##0.00_ ;[Red]\-#,##0.00\ ">
                  <c:v>112.82703564885252</c:v>
                </c:pt>
                <c:pt idx="150" formatCode="#,##0.00_ ;[Red]\-#,##0.00\ ">
                  <c:v>114.96627085599125</c:v>
                </c:pt>
                <c:pt idx="151" formatCode="#,##0.00_ ;[Red]\-#,##0.00\ ">
                  <c:v>114.25620738184575</c:v>
                </c:pt>
                <c:pt idx="152" formatCode="#,##0.00_ ;[Red]\-#,##0.00\ ">
                  <c:v>117.44692941566406</c:v>
                </c:pt>
                <c:pt idx="153" formatCode="#,##0.00_ ;[Red]\-#,##0.00\ ">
                  <c:v>120.71558688897088</c:v>
                </c:pt>
                <c:pt idx="154" formatCode="#,##0.00_ ;[Red]\-#,##0.00\ ">
                  <c:v>123.34431549833442</c:v>
                </c:pt>
                <c:pt idx="155" formatCode="#,##0.00_ ;[Red]\-#,##0.00\ ">
                  <c:v>128.54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51A-4DB1-9EE6-73A91C784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8928496"/>
        <c:axId val="278935160"/>
      </c:lineChart>
      <c:catAx>
        <c:axId val="27892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mmm\-yy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351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78935160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B/. / MWh</a:t>
                </a:r>
              </a:p>
            </c:rich>
          </c:tx>
          <c:layout>
            <c:manualLayout>
              <c:xMode val="edge"/>
              <c:yMode val="edge"/>
              <c:x val="2.3653088042049936E-2"/>
              <c:y val="0.365000524934383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28496"/>
        <c:crosses val="autoZero"/>
        <c:crossBetween val="midCat"/>
        <c:majorUnit val="50"/>
      </c:valAx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550591327201052"/>
          <c:y val="0.91"/>
          <c:w val="0.63206307490144542"/>
          <c:h val="6.9999999999999951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516" header="0" footer="0"/>
    <c:pageSetup orientation="landscape" horizontalDpi="-3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INTERCAMBIO DE ENERGIA CON CENTROAMERICA  2001 - 2002</a:t>
            </a:r>
          </a:p>
        </c:rich>
      </c:tx>
      <c:layout>
        <c:manualLayout>
          <c:xMode val="edge"/>
          <c:yMode val="edge"/>
          <c:x val="0.16805338112698004"/>
          <c:y val="3.1175132960349596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2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6472559140169329"/>
          <c:y val="0.13669096759537899"/>
          <c:w val="0.82196406214582363"/>
          <c:h val="0.5923275262466392"/>
        </c:manualLayout>
      </c:layout>
      <c:bar3DChart>
        <c:barDir val="col"/>
        <c:grouping val="clustered"/>
        <c:varyColors val="0"/>
        <c:ser>
          <c:idx val="4"/>
          <c:order val="0"/>
          <c:tx>
            <c:strRef>
              <c:f>'G-MM-3 IntEneCenAme,99-21'!$Y$6</c:f>
              <c:strCache>
                <c:ptCount val="1"/>
                <c:pt idx="0">
                  <c:v>Entrada
2001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IntEneCenAme,99-21'!$Y$8:$Y$19</c:f>
              <c:numCache>
                <c:formatCode>#,##0.0_ ;[Red]\-#,##0.0\ </c:formatCode>
                <c:ptCount val="12"/>
                <c:pt idx="0">
                  <c:v>7612</c:v>
                </c:pt>
                <c:pt idx="1">
                  <c:v>7128</c:v>
                </c:pt>
                <c:pt idx="2">
                  <c:v>1926</c:v>
                </c:pt>
                <c:pt idx="3">
                  <c:v>853</c:v>
                </c:pt>
                <c:pt idx="4">
                  <c:v>272</c:v>
                </c:pt>
                <c:pt idx="5">
                  <c:v>930</c:v>
                </c:pt>
                <c:pt idx="6">
                  <c:v>2164</c:v>
                </c:pt>
                <c:pt idx="7">
                  <c:v>1494</c:v>
                </c:pt>
                <c:pt idx="8">
                  <c:v>539.79999999999995</c:v>
                </c:pt>
                <c:pt idx="9">
                  <c:v>0</c:v>
                </c:pt>
                <c:pt idx="10">
                  <c:v>8268.7999999999993</c:v>
                </c:pt>
                <c:pt idx="11">
                  <c:v>11743.6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53-4FF4-9B1F-3CCE813EED78}"/>
            </c:ext>
          </c:extLst>
        </c:ser>
        <c:ser>
          <c:idx val="5"/>
          <c:order val="1"/>
          <c:tx>
            <c:strRef>
              <c:f>'G-MM-3 IntEneCenAme,99-21'!$Z$6</c:f>
              <c:strCache>
                <c:ptCount val="1"/>
                <c:pt idx="0">
                  <c:v>Salida
2001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IntEneCenAme,99-21'!$Z$8:$Z$19</c:f>
              <c:numCache>
                <c:formatCode>#,##0.0_ ;[Red]\-#,##0.0\ </c:formatCode>
                <c:ptCount val="12"/>
                <c:pt idx="0">
                  <c:v>-3040</c:v>
                </c:pt>
                <c:pt idx="1">
                  <c:v>-3060</c:v>
                </c:pt>
                <c:pt idx="2">
                  <c:v>-6530</c:v>
                </c:pt>
                <c:pt idx="3">
                  <c:v>-3190</c:v>
                </c:pt>
                <c:pt idx="4">
                  <c:v>-3000</c:v>
                </c:pt>
                <c:pt idx="5">
                  <c:v>0</c:v>
                </c:pt>
                <c:pt idx="6">
                  <c:v>-8450</c:v>
                </c:pt>
                <c:pt idx="7">
                  <c:v>-19040</c:v>
                </c:pt>
                <c:pt idx="8">
                  <c:v>-20480</c:v>
                </c:pt>
                <c:pt idx="9">
                  <c:v>-33220</c:v>
                </c:pt>
                <c:pt idx="10">
                  <c:v>-15590</c:v>
                </c:pt>
                <c:pt idx="11">
                  <c:v>-2410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53-4FF4-9B1F-3CCE813EED78}"/>
            </c:ext>
          </c:extLst>
        </c:ser>
        <c:ser>
          <c:idx val="0"/>
          <c:order val="2"/>
          <c:tx>
            <c:strRef>
              <c:f>'G-MM-3 IntEneCenAme,99-21'!$AA$6</c:f>
              <c:strCache>
                <c:ptCount val="1"/>
                <c:pt idx="0">
                  <c:v>Entrada
2002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IntEneCenAme,99-21'!$AA$8:$AA$19</c:f>
              <c:numCache>
                <c:formatCode>#,##0.0_ ;[Red]\-#,##0.0\ </c:formatCode>
                <c:ptCount val="12"/>
                <c:pt idx="0">
                  <c:v>739.86</c:v>
                </c:pt>
                <c:pt idx="1">
                  <c:v>0</c:v>
                </c:pt>
                <c:pt idx="2">
                  <c:v>85.79</c:v>
                </c:pt>
                <c:pt idx="3">
                  <c:v>0</c:v>
                </c:pt>
                <c:pt idx="4">
                  <c:v>0</c:v>
                </c:pt>
                <c:pt idx="5">
                  <c:v>950</c:v>
                </c:pt>
                <c:pt idx="6">
                  <c:v>3767.5</c:v>
                </c:pt>
                <c:pt idx="7">
                  <c:v>6808</c:v>
                </c:pt>
                <c:pt idx="8">
                  <c:v>5576.84</c:v>
                </c:pt>
                <c:pt idx="9">
                  <c:v>7719.5</c:v>
                </c:pt>
                <c:pt idx="10">
                  <c:v>4466.3999999999996</c:v>
                </c:pt>
                <c:pt idx="11">
                  <c:v>5018.2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53-4FF4-9B1F-3CCE813EED78}"/>
            </c:ext>
          </c:extLst>
        </c:ser>
        <c:ser>
          <c:idx val="1"/>
          <c:order val="3"/>
          <c:tx>
            <c:strRef>
              <c:f>'G-MM-3 IntEneCenAme,99-21'!$AB$6</c:f>
              <c:strCache>
                <c:ptCount val="1"/>
                <c:pt idx="0">
                  <c:v>Salida
2002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IntEneCenAme,99-21'!$AB$8:$AB$19</c:f>
              <c:numCache>
                <c:formatCode>#,##0.0_ ;[Red]\-#,##0.0\ </c:formatCode>
                <c:ptCount val="12"/>
                <c:pt idx="0">
                  <c:v>-3577.11</c:v>
                </c:pt>
                <c:pt idx="1">
                  <c:v>-10035</c:v>
                </c:pt>
                <c:pt idx="2">
                  <c:v>-12995</c:v>
                </c:pt>
                <c:pt idx="3">
                  <c:v>-7502</c:v>
                </c:pt>
                <c:pt idx="4">
                  <c:v>-1625</c:v>
                </c:pt>
                <c:pt idx="5">
                  <c:v>-4308.45</c:v>
                </c:pt>
                <c:pt idx="6">
                  <c:v>-1115</c:v>
                </c:pt>
                <c:pt idx="7">
                  <c:v>-850</c:v>
                </c:pt>
                <c:pt idx="8">
                  <c:v>0</c:v>
                </c:pt>
                <c:pt idx="9">
                  <c:v>-1486.93</c:v>
                </c:pt>
                <c:pt idx="10">
                  <c:v>-680</c:v>
                </c:pt>
                <c:pt idx="11">
                  <c:v>-4430.6000000000004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53-4FF4-9B1F-3CCE813EE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931240"/>
        <c:axId val="278928888"/>
        <c:axId val="0"/>
      </c:bar3DChart>
      <c:catAx>
        <c:axId val="278931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8419336102122007"/>
              <c:y val="0.76019360889241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288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8928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3.8269550748752081E-2"/>
              <c:y val="0.13429281771433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31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97339068137632"/>
          <c:y val="0.86091328713580806"/>
          <c:w val="0.72545816011250785"/>
          <c:h val="7.6738788825475926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89" r="0.75000000000000289" t="1" header="0" footer="0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INTERCAMBIO DE ENERGÍA CON CENTROAMÉRICA 2003 - 2004</a:t>
            </a:r>
          </a:p>
        </c:rich>
      </c:tx>
      <c:layout>
        <c:manualLayout>
          <c:xMode val="edge"/>
          <c:yMode val="edge"/>
          <c:x val="0.17138117085226678"/>
          <c:y val="3.2418952618453865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6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74222222583386"/>
          <c:y val="0.11720698254364144"/>
          <c:w val="0.81863627242053993"/>
          <c:h val="0.6783042394015013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'G-MM-3 IntEneCenAme,99-21'!$AC$6:$AC$7</c:f>
              <c:strCache>
                <c:ptCount val="2"/>
                <c:pt idx="0">
                  <c:v>Entrada
2003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IntEneCenAme,99-21'!$AC$8:$AC$19</c:f>
              <c:numCache>
                <c:formatCode>#,##0.0_ ;[Red]\-#,##0.0\ </c:formatCode>
                <c:ptCount val="12"/>
                <c:pt idx="0">
                  <c:v>1120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473</c:v>
                </c:pt>
                <c:pt idx="9">
                  <c:v>366.9</c:v>
                </c:pt>
                <c:pt idx="10">
                  <c:v>10</c:v>
                </c:pt>
                <c:pt idx="11">
                  <c:v>16.8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BE-4183-B2DA-56A13AD2B937}"/>
            </c:ext>
          </c:extLst>
        </c:ser>
        <c:ser>
          <c:idx val="3"/>
          <c:order val="1"/>
          <c:tx>
            <c:strRef>
              <c:f>'G-MM-3 IntEneCenAme,99-21'!$AD$6:$AD$7</c:f>
              <c:strCache>
                <c:ptCount val="2"/>
                <c:pt idx="0">
                  <c:v>Salida
2003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IntEneCenAme,99-21'!$AD$8:$AD$19</c:f>
              <c:numCache>
                <c:formatCode>#,##0.0_ ;[Red]\-#,##0.0\ </c:formatCode>
                <c:ptCount val="12"/>
                <c:pt idx="0">
                  <c:v>-1613</c:v>
                </c:pt>
                <c:pt idx="1">
                  <c:v>0</c:v>
                </c:pt>
                <c:pt idx="2">
                  <c:v>-24329.7</c:v>
                </c:pt>
                <c:pt idx="3">
                  <c:v>-13117</c:v>
                </c:pt>
                <c:pt idx="4">
                  <c:v>-1986</c:v>
                </c:pt>
                <c:pt idx="5">
                  <c:v>-5199</c:v>
                </c:pt>
                <c:pt idx="6">
                  <c:v>-15408</c:v>
                </c:pt>
                <c:pt idx="7">
                  <c:v>-19216</c:v>
                </c:pt>
                <c:pt idx="8">
                  <c:v>-23729</c:v>
                </c:pt>
                <c:pt idx="9">
                  <c:v>-32364</c:v>
                </c:pt>
                <c:pt idx="10">
                  <c:v>-21668</c:v>
                </c:pt>
                <c:pt idx="11">
                  <c:v>-21549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BE-4183-B2DA-56A13AD2B937}"/>
            </c:ext>
          </c:extLst>
        </c:ser>
        <c:ser>
          <c:idx val="4"/>
          <c:order val="2"/>
          <c:tx>
            <c:strRef>
              <c:f>'G-MM-3 IntEneCenAme,99-21'!$AE$6:$AE$7</c:f>
              <c:strCache>
                <c:ptCount val="2"/>
                <c:pt idx="0">
                  <c:v>Entrada
2004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IntEneCenAme,99-21'!$AE$8:$AE$19</c:f>
              <c:numCache>
                <c:formatCode>#,##0.0_ ;[Red]\-#,##0.0\ </c:formatCode>
                <c:ptCount val="12"/>
                <c:pt idx="0">
                  <c:v>188.7</c:v>
                </c:pt>
                <c:pt idx="1">
                  <c:v>111</c:v>
                </c:pt>
                <c:pt idx="2">
                  <c:v>0</c:v>
                </c:pt>
                <c:pt idx="3">
                  <c:v>5</c:v>
                </c:pt>
                <c:pt idx="4">
                  <c:v>279.89999999999998</c:v>
                </c:pt>
                <c:pt idx="5">
                  <c:v>0</c:v>
                </c:pt>
                <c:pt idx="6">
                  <c:v>6563</c:v>
                </c:pt>
                <c:pt idx="7">
                  <c:v>7944</c:v>
                </c:pt>
                <c:pt idx="8">
                  <c:v>16582.2</c:v>
                </c:pt>
                <c:pt idx="9">
                  <c:v>16646.7</c:v>
                </c:pt>
                <c:pt idx="10">
                  <c:v>15524.5</c:v>
                </c:pt>
                <c:pt idx="11">
                  <c:v>14196.9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BE-4183-B2DA-56A13AD2B937}"/>
            </c:ext>
          </c:extLst>
        </c:ser>
        <c:ser>
          <c:idx val="5"/>
          <c:order val="3"/>
          <c:tx>
            <c:strRef>
              <c:f>'G-MM-3 IntEneCenAme,99-21'!$AF$6:$AF$7</c:f>
              <c:strCache>
                <c:ptCount val="2"/>
                <c:pt idx="0">
                  <c:v>Salida
2004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IntEneCenAme,99-21'!$AF$8:$AF$19</c:f>
              <c:numCache>
                <c:formatCode>#,##0.0_ ;[Red]\-#,##0.0\ </c:formatCode>
                <c:ptCount val="12"/>
                <c:pt idx="0">
                  <c:v>-32500.7</c:v>
                </c:pt>
                <c:pt idx="1">
                  <c:v>-34321.81</c:v>
                </c:pt>
                <c:pt idx="2">
                  <c:v>-39630.5</c:v>
                </c:pt>
                <c:pt idx="3">
                  <c:v>-17660.3</c:v>
                </c:pt>
                <c:pt idx="4">
                  <c:v>-24885.55</c:v>
                </c:pt>
                <c:pt idx="5">
                  <c:v>-18602.2</c:v>
                </c:pt>
                <c:pt idx="6">
                  <c:v>-5639.7</c:v>
                </c:pt>
                <c:pt idx="7">
                  <c:v>-4912.0200000000004</c:v>
                </c:pt>
                <c:pt idx="8">
                  <c:v>-3909.4</c:v>
                </c:pt>
                <c:pt idx="9">
                  <c:v>-1697.2</c:v>
                </c:pt>
                <c:pt idx="10">
                  <c:v>-13068.8</c:v>
                </c:pt>
                <c:pt idx="11">
                  <c:v>-10313.4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5BE-4183-B2DA-56A13AD2B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929280"/>
        <c:axId val="278927712"/>
        <c:axId val="0"/>
      </c:bar3DChart>
      <c:catAx>
        <c:axId val="2789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254610644551293"/>
              <c:y val="0.8254364089775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277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892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1.6638935108153077E-2"/>
              <c:y val="0.149625935162094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29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74222222583311"/>
          <c:y val="0.88778054862842892"/>
          <c:w val="0.72545816011250785"/>
          <c:h val="7.9800498753117205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89" r="0.75000000000000289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INTERCAMBIO DE ENERGÍA CON CENTROAMÉRICA 1999 - 2000</a:t>
            </a:r>
          </a:p>
        </c:rich>
      </c:tx>
      <c:layout>
        <c:manualLayout>
          <c:xMode val="edge"/>
          <c:yMode val="edge"/>
          <c:x val="0.17000027669315868"/>
          <c:y val="3.2500039672899994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5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500025227905645"/>
          <c:y val="0.1425001739504077"/>
          <c:w val="0.82500134277562298"/>
          <c:h val="0.662500808716807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'G-MM-3 IntEneCenAme,99-21'!$U$6</c:f>
              <c:strCache>
                <c:ptCount val="1"/>
                <c:pt idx="0">
                  <c:v>Entrada
1999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IntEneCenAme,99-21'!$U$8:$U$19</c:f>
              <c:numCache>
                <c:formatCode>#,##0.0_ ;[Red]\-#,##0.0\ </c:formatCode>
                <c:ptCount val="12"/>
                <c:pt idx="0">
                  <c:v>1096.0999999999999</c:v>
                </c:pt>
                <c:pt idx="1">
                  <c:v>777</c:v>
                </c:pt>
                <c:pt idx="2">
                  <c:v>726.8</c:v>
                </c:pt>
                <c:pt idx="3">
                  <c:v>735.5</c:v>
                </c:pt>
                <c:pt idx="4">
                  <c:v>779.3</c:v>
                </c:pt>
                <c:pt idx="5">
                  <c:v>1026.8</c:v>
                </c:pt>
                <c:pt idx="6">
                  <c:v>6550.5</c:v>
                </c:pt>
                <c:pt idx="7">
                  <c:v>11996.8</c:v>
                </c:pt>
                <c:pt idx="8">
                  <c:v>13319.9</c:v>
                </c:pt>
                <c:pt idx="9">
                  <c:v>4574</c:v>
                </c:pt>
                <c:pt idx="10">
                  <c:v>2427.6999999999998</c:v>
                </c:pt>
                <c:pt idx="11">
                  <c:v>1249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7-48C7-9ACE-960267B68BAC}"/>
            </c:ext>
          </c:extLst>
        </c:ser>
        <c:ser>
          <c:idx val="1"/>
          <c:order val="1"/>
          <c:tx>
            <c:strRef>
              <c:f>'G-MM-3 IntEneCenAme,99-21'!$V$6</c:f>
              <c:strCache>
                <c:ptCount val="1"/>
                <c:pt idx="0">
                  <c:v>Salida
1999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IntEneCenAme,99-21'!$V$8:$V$19</c:f>
              <c:numCache>
                <c:formatCode>#,##0.0_ ;[Red]\-#,##0.0\ </c:formatCode>
                <c:ptCount val="12"/>
                <c:pt idx="0">
                  <c:v>-2669.5</c:v>
                </c:pt>
                <c:pt idx="1">
                  <c:v>-9086</c:v>
                </c:pt>
                <c:pt idx="2">
                  <c:v>-18404.2</c:v>
                </c:pt>
                <c:pt idx="3">
                  <c:v>-24383.3</c:v>
                </c:pt>
                <c:pt idx="4">
                  <c:v>-14266.7</c:v>
                </c:pt>
                <c:pt idx="5">
                  <c:v>-5447.9</c:v>
                </c:pt>
                <c:pt idx="6">
                  <c:v>-3707.2</c:v>
                </c:pt>
                <c:pt idx="7">
                  <c:v>-2963.3</c:v>
                </c:pt>
                <c:pt idx="8">
                  <c:v>-2808.3</c:v>
                </c:pt>
                <c:pt idx="9">
                  <c:v>-1493.7</c:v>
                </c:pt>
                <c:pt idx="10">
                  <c:v>-12221</c:v>
                </c:pt>
                <c:pt idx="11">
                  <c:v>-8366.5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07-48C7-9ACE-960267B68BAC}"/>
            </c:ext>
          </c:extLst>
        </c:ser>
        <c:ser>
          <c:idx val="2"/>
          <c:order val="2"/>
          <c:tx>
            <c:strRef>
              <c:f>'G-MM-3 IntEneCenAme,99-21'!$W$6</c:f>
              <c:strCache>
                <c:ptCount val="1"/>
                <c:pt idx="0">
                  <c:v>Entrada
2000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IntEneCenAme,99-21'!$W$8:$W$19</c:f>
              <c:numCache>
                <c:formatCode>#,##0.0_ ;[Red]\-#,##0.0\ </c:formatCode>
                <c:ptCount val="12"/>
                <c:pt idx="0">
                  <c:v>3038.13</c:v>
                </c:pt>
                <c:pt idx="1">
                  <c:v>11026.16</c:v>
                </c:pt>
                <c:pt idx="2">
                  <c:v>11043.17</c:v>
                </c:pt>
                <c:pt idx="3">
                  <c:v>9189.17</c:v>
                </c:pt>
                <c:pt idx="4">
                  <c:v>13996.21</c:v>
                </c:pt>
                <c:pt idx="5">
                  <c:v>16377.51</c:v>
                </c:pt>
                <c:pt idx="6">
                  <c:v>15431.78</c:v>
                </c:pt>
                <c:pt idx="7">
                  <c:v>14951.71</c:v>
                </c:pt>
                <c:pt idx="8">
                  <c:v>13155.55</c:v>
                </c:pt>
                <c:pt idx="9">
                  <c:v>13565.23</c:v>
                </c:pt>
                <c:pt idx="10">
                  <c:v>10402.950000000001</c:v>
                </c:pt>
                <c:pt idx="11">
                  <c:v>3154.96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07-48C7-9ACE-960267B68BAC}"/>
            </c:ext>
          </c:extLst>
        </c:ser>
        <c:ser>
          <c:idx val="3"/>
          <c:order val="3"/>
          <c:tx>
            <c:strRef>
              <c:f>'G-MM-3 IntEneCenAme,99-21'!$X$6</c:f>
              <c:strCache>
                <c:ptCount val="1"/>
                <c:pt idx="0">
                  <c:v>Salida
2000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IntEneCenAme,99-21'!$X$8:$X$19</c:f>
              <c:numCache>
                <c:formatCode>#,##0.0_ ;[Red]\-#,##0.0\ </c:formatCode>
                <c:ptCount val="12"/>
                <c:pt idx="0">
                  <c:v>-6407.7</c:v>
                </c:pt>
                <c:pt idx="1">
                  <c:v>-828.05</c:v>
                </c:pt>
                <c:pt idx="2">
                  <c:v>-780</c:v>
                </c:pt>
                <c:pt idx="3">
                  <c:v>-812.51</c:v>
                </c:pt>
                <c:pt idx="4">
                  <c:v>-666.32</c:v>
                </c:pt>
                <c:pt idx="5">
                  <c:v>-219.65</c:v>
                </c:pt>
                <c:pt idx="6">
                  <c:v>-407.84</c:v>
                </c:pt>
                <c:pt idx="7">
                  <c:v>-363.68</c:v>
                </c:pt>
                <c:pt idx="8">
                  <c:v>-462.36</c:v>
                </c:pt>
                <c:pt idx="9">
                  <c:v>-639.09</c:v>
                </c:pt>
                <c:pt idx="10">
                  <c:v>-654.99</c:v>
                </c:pt>
                <c:pt idx="11">
                  <c:v>-5591.21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07-48C7-9ACE-960267B68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8931632"/>
        <c:axId val="278932024"/>
        <c:axId val="0"/>
      </c:bar3DChart>
      <c:catAx>
        <c:axId val="27893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500069991251093"/>
              <c:y val="0.837501049868766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3202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8932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2.1666666666666667E-2"/>
              <c:y val="0.1675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8931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2333353407150728"/>
          <c:y val="0.89500109253063054"/>
          <c:w val="0.72666784939428608"/>
          <c:h val="8.0000097656369215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39370078740157488" l="0.39370078740157488" r="0.39370078740157488" t="0.59055118110235516" header="0" footer="0"/>
    <c:pageSetup orientation="landscape" horizontalDpi="-3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INTERCAMBIO DE ENERGÍA CON CENTROAMÉRICA 2005 - 2006</a:t>
            </a:r>
          </a:p>
        </c:rich>
      </c:tx>
      <c:layout>
        <c:manualLayout>
          <c:xMode val="edge"/>
          <c:yMode val="edge"/>
          <c:x val="0.17247125775947372"/>
          <c:y val="3.2258103600563644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7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22910549645374"/>
          <c:y val="0.1066998811403259"/>
          <c:w val="0.82421360679286959"/>
          <c:h val="0.68982713853513333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'G-MM-3 IntEneCenAme,99-21'!$AG$6:$AG$7</c:f>
              <c:strCache>
                <c:ptCount val="2"/>
                <c:pt idx="0">
                  <c:v>Entrada
2005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IntEneCenAme,99-21'!$AG$8:$AG$19</c:f>
              <c:numCache>
                <c:formatCode>#,##0.0_ ;[Red]\-#,##0.0\ </c:formatCode>
                <c:ptCount val="12"/>
                <c:pt idx="0">
                  <c:v>8558.6</c:v>
                </c:pt>
                <c:pt idx="1">
                  <c:v>1862.7</c:v>
                </c:pt>
                <c:pt idx="2">
                  <c:v>648.20000000000005</c:v>
                </c:pt>
                <c:pt idx="3">
                  <c:v>141.30000000000001</c:v>
                </c:pt>
                <c:pt idx="4">
                  <c:v>1929.6</c:v>
                </c:pt>
                <c:pt idx="5">
                  <c:v>6569.6</c:v>
                </c:pt>
                <c:pt idx="6">
                  <c:v>9954.9</c:v>
                </c:pt>
                <c:pt idx="7">
                  <c:v>8315.6</c:v>
                </c:pt>
                <c:pt idx="8">
                  <c:v>4742.41</c:v>
                </c:pt>
                <c:pt idx="9">
                  <c:v>3404.7</c:v>
                </c:pt>
                <c:pt idx="10">
                  <c:v>5889.2</c:v>
                </c:pt>
                <c:pt idx="11">
                  <c:v>2911.7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4-4876-8C34-3C0366196BFD}"/>
            </c:ext>
          </c:extLst>
        </c:ser>
        <c:ser>
          <c:idx val="3"/>
          <c:order val="1"/>
          <c:tx>
            <c:strRef>
              <c:f>'G-MM-3 IntEneCenAme,99-21'!$AH$6:$AH$7</c:f>
              <c:strCache>
                <c:ptCount val="2"/>
                <c:pt idx="0">
                  <c:v>Salida
2005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IntEneCenAme,99-21'!$AH$8:$AH$19</c:f>
              <c:numCache>
                <c:formatCode>#,##0.0_ ;[Red]\-#,##0.0\ </c:formatCode>
                <c:ptCount val="12"/>
                <c:pt idx="0">
                  <c:v>-12908.65</c:v>
                </c:pt>
                <c:pt idx="1">
                  <c:v>-7212.3</c:v>
                </c:pt>
                <c:pt idx="2">
                  <c:v>-22339.69</c:v>
                </c:pt>
                <c:pt idx="3">
                  <c:v>-23732.78</c:v>
                </c:pt>
                <c:pt idx="4">
                  <c:v>-15302.1</c:v>
                </c:pt>
                <c:pt idx="5">
                  <c:v>-12891</c:v>
                </c:pt>
                <c:pt idx="6">
                  <c:v>-2886.4</c:v>
                </c:pt>
                <c:pt idx="7">
                  <c:v>-950.7</c:v>
                </c:pt>
                <c:pt idx="8">
                  <c:v>-463.1</c:v>
                </c:pt>
                <c:pt idx="9">
                  <c:v>-2974</c:v>
                </c:pt>
                <c:pt idx="10">
                  <c:v>-2557.8000000000002</c:v>
                </c:pt>
                <c:pt idx="11">
                  <c:v>-2112.6999999999998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4-4876-8C34-3C0366196BFD}"/>
            </c:ext>
          </c:extLst>
        </c:ser>
        <c:ser>
          <c:idx val="0"/>
          <c:order val="2"/>
          <c:tx>
            <c:strRef>
              <c:f>'G-MM-3 IntEneCenAme,99-21'!$AI$6:$AI$7</c:f>
              <c:strCache>
                <c:ptCount val="2"/>
                <c:pt idx="0">
                  <c:v>Entrada
2006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IntEneCenAme,99-21'!$AI$8:$AI$19</c:f>
              <c:numCache>
                <c:formatCode>#,##0.00</c:formatCode>
                <c:ptCount val="12"/>
                <c:pt idx="0">
                  <c:v>4739</c:v>
                </c:pt>
                <c:pt idx="1">
                  <c:v>267</c:v>
                </c:pt>
                <c:pt idx="2">
                  <c:v>0</c:v>
                </c:pt>
                <c:pt idx="3">
                  <c:v>0</c:v>
                </c:pt>
                <c:pt idx="4">
                  <c:v>463.4</c:v>
                </c:pt>
                <c:pt idx="5">
                  <c:v>814.2</c:v>
                </c:pt>
                <c:pt idx="6">
                  <c:v>8634.24</c:v>
                </c:pt>
                <c:pt idx="7">
                  <c:v>10938.52</c:v>
                </c:pt>
                <c:pt idx="8">
                  <c:v>3164.38</c:v>
                </c:pt>
                <c:pt idx="9">
                  <c:v>2267.29</c:v>
                </c:pt>
                <c:pt idx="10">
                  <c:v>1420.5</c:v>
                </c:pt>
                <c:pt idx="11">
                  <c:v>1684.59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4-4876-8C34-3C0366196BFD}"/>
            </c:ext>
          </c:extLst>
        </c:ser>
        <c:ser>
          <c:idx val="1"/>
          <c:order val="3"/>
          <c:tx>
            <c:strRef>
              <c:f>'G-MM-3 IntEneCenAme,99-21'!$AJ$6:$AJ$7</c:f>
              <c:strCache>
                <c:ptCount val="2"/>
                <c:pt idx="0">
                  <c:v>Salida
2006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IntEneCenAme,99-21'!$AJ$8:$AJ$19</c:f>
              <c:numCache>
                <c:formatCode>#,##0.00</c:formatCode>
                <c:ptCount val="12"/>
                <c:pt idx="0">
                  <c:v>-316</c:v>
                </c:pt>
                <c:pt idx="1">
                  <c:v>-1862.2</c:v>
                </c:pt>
                <c:pt idx="2">
                  <c:v>-19887</c:v>
                </c:pt>
                <c:pt idx="3">
                  <c:v>-25461.4</c:v>
                </c:pt>
                <c:pt idx="4">
                  <c:v>-14306.57</c:v>
                </c:pt>
                <c:pt idx="5">
                  <c:v>-2109.5</c:v>
                </c:pt>
                <c:pt idx="6">
                  <c:v>-374.4</c:v>
                </c:pt>
                <c:pt idx="7">
                  <c:v>-270</c:v>
                </c:pt>
                <c:pt idx="8">
                  <c:v>-2660</c:v>
                </c:pt>
                <c:pt idx="9">
                  <c:v>-114</c:v>
                </c:pt>
                <c:pt idx="10">
                  <c:v>-8326.16</c:v>
                </c:pt>
                <c:pt idx="11">
                  <c:v>-7717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4-4876-8C34-3C0366196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543120"/>
        <c:axId val="236545864"/>
        <c:axId val="0"/>
      </c:bar3DChart>
      <c:catAx>
        <c:axId val="23654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429588714346027"/>
              <c:y val="0.82630377158190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654586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36545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1.824212271973466E-2"/>
              <c:y val="0.14640224562500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6543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54586045336541"/>
          <c:y val="0.88833854530782963"/>
          <c:w val="0.72305258060702449"/>
          <c:h val="7.9404562709079737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89" r="0.75000000000000289" t="1" header="0" footer="0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INTERCAMBIO DE ENERGÍA CON CENTROAMÉRICA 2007 - 2008</a:t>
            </a:r>
          </a:p>
        </c:rich>
      </c:tx>
      <c:layout>
        <c:manualLayout>
          <c:xMode val="edge"/>
          <c:yMode val="edge"/>
          <c:x val="0.17138117085226678"/>
          <c:y val="3.2418952618453865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3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74222222583386"/>
          <c:y val="0.13715710723192021"/>
          <c:w val="0.82362795700847025"/>
          <c:h val="0.64339152119700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'G-MM-3 IntEneCenAme,99-21'!$AK$6:$AK$7</c:f>
              <c:strCache>
                <c:ptCount val="2"/>
                <c:pt idx="0">
                  <c:v>Entrada
2007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IntEneCenAme,99-21'!$AK$8:$AK$19</c:f>
              <c:numCache>
                <c:formatCode>#,##0.00</c:formatCode>
                <c:ptCount val="12"/>
                <c:pt idx="0">
                  <c:v>589</c:v>
                </c:pt>
                <c:pt idx="1">
                  <c:v>596</c:v>
                </c:pt>
                <c:pt idx="2">
                  <c:v>594.5</c:v>
                </c:pt>
                <c:pt idx="3">
                  <c:v>666.8</c:v>
                </c:pt>
                <c:pt idx="4">
                  <c:v>922.2</c:v>
                </c:pt>
                <c:pt idx="5">
                  <c:v>600.70000000000005</c:v>
                </c:pt>
                <c:pt idx="6">
                  <c:v>0</c:v>
                </c:pt>
                <c:pt idx="7">
                  <c:v>425.65</c:v>
                </c:pt>
                <c:pt idx="8">
                  <c:v>896.14</c:v>
                </c:pt>
                <c:pt idx="9">
                  <c:v>1684.93</c:v>
                </c:pt>
                <c:pt idx="10">
                  <c:v>421.64</c:v>
                </c:pt>
                <c:pt idx="11">
                  <c:v>1338.73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1E-40D1-BD5A-BBA14F667D55}"/>
            </c:ext>
          </c:extLst>
        </c:ser>
        <c:ser>
          <c:idx val="1"/>
          <c:order val="1"/>
          <c:tx>
            <c:strRef>
              <c:f>'G-MM-3 IntEneCenAme,99-21'!$AL$6:$AL$7</c:f>
              <c:strCache>
                <c:ptCount val="2"/>
                <c:pt idx="0">
                  <c:v>Salida
2007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IntEneCenAme,99-21'!$AL$8:$AL$19</c:f>
              <c:numCache>
                <c:formatCode>#,##0.00</c:formatCode>
                <c:ptCount val="12"/>
                <c:pt idx="0">
                  <c:v>-21000</c:v>
                </c:pt>
                <c:pt idx="1">
                  <c:v>-32876.78</c:v>
                </c:pt>
                <c:pt idx="2">
                  <c:v>-19319</c:v>
                </c:pt>
                <c:pt idx="3">
                  <c:v>0</c:v>
                </c:pt>
                <c:pt idx="4">
                  <c:v>0</c:v>
                </c:pt>
                <c:pt idx="5">
                  <c:v>-2428.52</c:v>
                </c:pt>
                <c:pt idx="6">
                  <c:v>-7314.61</c:v>
                </c:pt>
                <c:pt idx="7">
                  <c:v>-6213.59</c:v>
                </c:pt>
                <c:pt idx="8">
                  <c:v>-8324.0300000000007</c:v>
                </c:pt>
                <c:pt idx="9">
                  <c:v>-9048.57</c:v>
                </c:pt>
                <c:pt idx="10">
                  <c:v>-9388.24</c:v>
                </c:pt>
                <c:pt idx="11">
                  <c:v>-9050.2199999999993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1E-40D1-BD5A-BBA14F667D55}"/>
            </c:ext>
          </c:extLst>
        </c:ser>
        <c:ser>
          <c:idx val="2"/>
          <c:order val="2"/>
          <c:tx>
            <c:strRef>
              <c:f>'G-MM-3 IntEneCenAme,99-21'!$AM$6:$AM$7</c:f>
              <c:strCache>
                <c:ptCount val="2"/>
                <c:pt idx="0">
                  <c:v>Entrada
2008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'G-MM-3 IntEneCenAme,99-21'!$AM$8:$AM$19</c:f>
              <c:numCache>
                <c:formatCode>#,##0.0_ ;[Red]\-#,##0.0\ </c:formatCode>
                <c:ptCount val="12"/>
                <c:pt idx="0">
                  <c:v>809.84</c:v>
                </c:pt>
                <c:pt idx="1">
                  <c:v>3578.93</c:v>
                </c:pt>
                <c:pt idx="2">
                  <c:v>3845</c:v>
                </c:pt>
                <c:pt idx="3">
                  <c:v>4094.6</c:v>
                </c:pt>
                <c:pt idx="4">
                  <c:v>4217</c:v>
                </c:pt>
                <c:pt idx="5">
                  <c:v>14849.58</c:v>
                </c:pt>
                <c:pt idx="6">
                  <c:v>17660.349999999999</c:v>
                </c:pt>
                <c:pt idx="7">
                  <c:v>19782.78</c:v>
                </c:pt>
                <c:pt idx="8">
                  <c:v>13972.79</c:v>
                </c:pt>
                <c:pt idx="9">
                  <c:v>13915.96</c:v>
                </c:pt>
                <c:pt idx="10">
                  <c:v>6205</c:v>
                </c:pt>
                <c:pt idx="11">
                  <c:v>2105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1E-40D1-BD5A-BBA14F667D55}"/>
            </c:ext>
          </c:extLst>
        </c:ser>
        <c:ser>
          <c:idx val="3"/>
          <c:order val="3"/>
          <c:tx>
            <c:strRef>
              <c:f>'G-MM-3 IntEneCenAme,99-21'!$AN$6:$AN$7</c:f>
              <c:strCache>
                <c:ptCount val="2"/>
                <c:pt idx="0">
                  <c:v>Salida
2008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'G-MM-3 IntEneCenAme,99-21'!$AN$8:$AN$19</c:f>
              <c:numCache>
                <c:formatCode>#,##0.0_ ;[Red]\-#,##0.0\ </c:formatCode>
                <c:ptCount val="12"/>
                <c:pt idx="0">
                  <c:v>-5662.34</c:v>
                </c:pt>
                <c:pt idx="1">
                  <c:v>-2880</c:v>
                </c:pt>
                <c:pt idx="2">
                  <c:v>-15343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-390</c:v>
                </c:pt>
                <c:pt idx="9">
                  <c:v>0</c:v>
                </c:pt>
                <c:pt idx="10">
                  <c:v>-688.3</c:v>
                </c:pt>
                <c:pt idx="11">
                  <c:v>-6582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1E-40D1-BD5A-BBA14F667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546256"/>
        <c:axId val="236542728"/>
        <c:axId val="0"/>
      </c:bar3DChart>
      <c:catAx>
        <c:axId val="23654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420999995632823"/>
              <c:y val="0.81047381546134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6542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36542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1.8302828618968387E-2"/>
              <c:y val="0.152119700748129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6546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79211469825251"/>
          <c:y val="0.87780548628428923"/>
          <c:w val="0.72545816011250785"/>
          <c:h val="7.9800498753117205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89" r="0.75000000000000289" t="1" header="0" footer="0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PA"/>
              <a:t>INTERCAMBIO DE ENERGÍA CON CENTROAMÉRICA   2021  
</a:t>
            </a:r>
          </a:p>
        </c:rich>
      </c:tx>
      <c:layout>
        <c:manualLayout>
          <c:xMode val="edge"/>
          <c:yMode val="edge"/>
          <c:x val="0.20198691825567042"/>
          <c:y val="3.2745632214302843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3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860944016569247"/>
          <c:y val="0.10831247578577098"/>
          <c:w val="0.78311321586009919"/>
          <c:h val="0.64794356955380572"/>
        </c:manualLayout>
      </c:layout>
      <c:bar3DChart>
        <c:barDir val="col"/>
        <c:grouping val="clustered"/>
        <c:varyColors val="0"/>
        <c:ser>
          <c:idx val="4"/>
          <c:order val="0"/>
          <c:tx>
            <c:strRef>
              <c:f>'G-MM-3 IntEneCenAme,99-21'!$BM$6:$BM$7</c:f>
              <c:strCache>
                <c:ptCount val="2"/>
                <c:pt idx="0">
                  <c:v>Entrada
2021</c:v>
                </c:pt>
              </c:strCache>
            </c:strRef>
          </c:tx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IntEneCenAme,99-21'!$BM$8:$BM$19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28044.66399999999</c:v>
                </c:pt>
                <c:pt idx="3">
                  <c:v>6170.0780000000041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41961.407000000007</c:v>
                </c:pt>
              </c:numCache>
            </c:numRef>
          </c:val>
        </c:ser>
        <c:ser>
          <c:idx val="5"/>
          <c:order val="1"/>
          <c:tx>
            <c:strRef>
              <c:f>'G-MM-3 IntEneCenAme,99-21'!$BN$6:$BN$7</c:f>
              <c:strCache>
                <c:ptCount val="2"/>
                <c:pt idx="0">
                  <c:v>Salida
2021</c:v>
                </c:pt>
              </c:strCache>
            </c:strRef>
          </c:tx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IntEneCenAme,99-21'!$BN$8:$BN$19</c:f>
              <c:numCache>
                <c:formatCode>#,##0.0_ ;[Red]\-#,##0.0\ </c:formatCode>
                <c:ptCount val="12"/>
                <c:pt idx="0">
                  <c:v>-21534.7249999999</c:v>
                </c:pt>
                <c:pt idx="1">
                  <c:v>-32815.067999999897</c:v>
                </c:pt>
                <c:pt idx="2">
                  <c:v>-43599.858999999698</c:v>
                </c:pt>
                <c:pt idx="3">
                  <c:v>-36735.234999999899</c:v>
                </c:pt>
                <c:pt idx="4">
                  <c:v>-22635.295999999798</c:v>
                </c:pt>
                <c:pt idx="5">
                  <c:v>-48806.642099999997</c:v>
                </c:pt>
                <c:pt idx="6">
                  <c:v>-51464.029199999997</c:v>
                </c:pt>
                <c:pt idx="7">
                  <c:v>-45948.845000000001</c:v>
                </c:pt>
                <c:pt idx="8">
                  <c:v>-54426.357000000004</c:v>
                </c:pt>
                <c:pt idx="9">
                  <c:v>-79084.831000000006</c:v>
                </c:pt>
                <c:pt idx="10">
                  <c:v>-43394.847999999904</c:v>
                </c:pt>
                <c:pt idx="11">
                  <c:v>-21310.524000000001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543512"/>
        <c:axId val="236544688"/>
        <c:axId val="0"/>
      </c:bar3DChart>
      <c:catAx>
        <c:axId val="236543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22229754393284"/>
              <c:y val="0.839167774053432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65446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3654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8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8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1.4999913090333907E-2"/>
              <c:y val="0.15250018180976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6543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21479677206076"/>
          <c:y val="0.90506964966910619"/>
          <c:w val="0.16503560236347761"/>
          <c:h val="7.433733194563584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INTERCAMBIO DE ENERGÍA CON CENTROAMÉRICA 2009 - 2010
</a:t>
            </a:r>
          </a:p>
        </c:rich>
      </c:tx>
      <c:layout>
        <c:manualLayout>
          <c:xMode val="edge"/>
          <c:yMode val="edge"/>
          <c:x val="0.17028380634390652"/>
          <c:y val="3.2663316582914576E-2"/>
        </c:manualLayout>
      </c:layout>
      <c:overlay val="0"/>
      <c:spPr>
        <a:noFill/>
        <a:ln w="25400">
          <a:noFill/>
        </a:ln>
      </c:spPr>
    </c:title>
    <c:autoTitleDeleted val="0"/>
    <c:view3D>
      <c:rotX val="21"/>
      <c:hPercent val="53"/>
      <c:rotY val="38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869782971619373"/>
          <c:y val="0.10804020100502512"/>
          <c:w val="0.76293823038397379"/>
          <c:h val="0.5904522613065322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'G-MM-3 IntEneCenAme,99-21'!$AO$6:$AO$7</c:f>
              <c:strCache>
                <c:ptCount val="2"/>
                <c:pt idx="0">
                  <c:v>Entrada
2009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IntEneCenAme,99-21'!$AO$8:$AO$19</c:f>
              <c:numCache>
                <c:formatCode>#,##0.0_ ;[Red]\-#,##0.0\ </c:formatCode>
                <c:ptCount val="12"/>
                <c:pt idx="0">
                  <c:v>2711.4</c:v>
                </c:pt>
                <c:pt idx="1">
                  <c:v>1845</c:v>
                </c:pt>
                <c:pt idx="2">
                  <c:v>1573.66</c:v>
                </c:pt>
                <c:pt idx="3">
                  <c:v>2</c:v>
                </c:pt>
                <c:pt idx="4">
                  <c:v>1871.3</c:v>
                </c:pt>
                <c:pt idx="5">
                  <c:v>11099.49</c:v>
                </c:pt>
                <c:pt idx="6">
                  <c:v>16517.169999999998</c:v>
                </c:pt>
                <c:pt idx="7">
                  <c:v>13171.69</c:v>
                </c:pt>
                <c:pt idx="8">
                  <c:v>942.77</c:v>
                </c:pt>
                <c:pt idx="9">
                  <c:v>740.2</c:v>
                </c:pt>
                <c:pt idx="10">
                  <c:v>5561.91</c:v>
                </c:pt>
                <c:pt idx="11">
                  <c:v>8291.67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D2-4F39-8678-F6D1391D2760}"/>
            </c:ext>
          </c:extLst>
        </c:ser>
        <c:ser>
          <c:idx val="3"/>
          <c:order val="1"/>
          <c:tx>
            <c:strRef>
              <c:f>'G-MM-3 IntEneCenAme,99-21'!$AP$6:$AP$7</c:f>
              <c:strCache>
                <c:ptCount val="2"/>
                <c:pt idx="0">
                  <c:v>Salida
2009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'G-MM-3 IntEneCenAme,99-21'!$T$8:$T$19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'G-MM-3 IntEneCenAme,99-21'!$AP$8:$AP$19</c:f>
              <c:numCache>
                <c:formatCode>#,##0.0_ ;[Red]\-#,##0.0\ </c:formatCode>
                <c:ptCount val="12"/>
                <c:pt idx="0">
                  <c:v>-11785</c:v>
                </c:pt>
                <c:pt idx="1">
                  <c:v>-14667.55</c:v>
                </c:pt>
                <c:pt idx="2">
                  <c:v>-11560.01</c:v>
                </c:pt>
                <c:pt idx="3">
                  <c:v>-20020.080000000002</c:v>
                </c:pt>
                <c:pt idx="4">
                  <c:v>-13794</c:v>
                </c:pt>
                <c:pt idx="5">
                  <c:v>-7053.65</c:v>
                </c:pt>
                <c:pt idx="6">
                  <c:v>-4893</c:v>
                </c:pt>
                <c:pt idx="7">
                  <c:v>-3740.59</c:v>
                </c:pt>
                <c:pt idx="8">
                  <c:v>-6041.61</c:v>
                </c:pt>
                <c:pt idx="9">
                  <c:v>-1515.02</c:v>
                </c:pt>
                <c:pt idx="10">
                  <c:v>0</c:v>
                </c:pt>
                <c:pt idx="11">
                  <c:v>-93.67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D2-4F39-8678-F6D1391D2760}"/>
            </c:ext>
          </c:extLst>
        </c:ser>
        <c:ser>
          <c:idx val="0"/>
          <c:order val="2"/>
          <c:tx>
            <c:strRef>
              <c:f>'G-MM-3 IntEneCenAme,99-21'!$AQ$6:$AQ$7</c:f>
              <c:strCache>
                <c:ptCount val="2"/>
                <c:pt idx="0">
                  <c:v>Entrada
2010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'G-MM-3 IntEneCenAme,99-21'!$AQ$8:$AQ$19</c:f>
              <c:numCache>
                <c:formatCode>#,##0.0_ ;[Red]\-#,##0.0\ </c:formatCode>
                <c:ptCount val="12"/>
                <c:pt idx="0">
                  <c:v>10238.549999999999</c:v>
                </c:pt>
                <c:pt idx="1">
                  <c:v>10392.91</c:v>
                </c:pt>
                <c:pt idx="2">
                  <c:v>398</c:v>
                </c:pt>
                <c:pt idx="3">
                  <c:v>0</c:v>
                </c:pt>
                <c:pt idx="4">
                  <c:v>300</c:v>
                </c:pt>
                <c:pt idx="5">
                  <c:v>6219.3549999999996</c:v>
                </c:pt>
                <c:pt idx="6">
                  <c:v>8437.2540000000008</c:v>
                </c:pt>
                <c:pt idx="7">
                  <c:v>11202.04</c:v>
                </c:pt>
                <c:pt idx="8">
                  <c:v>10294.185799999999</c:v>
                </c:pt>
                <c:pt idx="9">
                  <c:v>9544.67</c:v>
                </c:pt>
                <c:pt idx="10">
                  <c:v>1605</c:v>
                </c:pt>
                <c:pt idx="11">
                  <c:v>2116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D2-4F39-8678-F6D1391D2760}"/>
            </c:ext>
          </c:extLst>
        </c:ser>
        <c:ser>
          <c:idx val="1"/>
          <c:order val="3"/>
          <c:tx>
            <c:strRef>
              <c:f>'G-MM-3 IntEneCenAme,99-21'!$AR$6:$AR$7</c:f>
              <c:strCache>
                <c:ptCount val="2"/>
                <c:pt idx="0">
                  <c:v>Salida
2010</c:v>
                </c:pt>
              </c:strCache>
            </c:strRef>
          </c:tx>
          <c:spPr>
            <a:solidFill>
              <a:srgbClr val="FFB7B7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'G-MM-3 IntEneCenAme,99-21'!$AR$8:$AR$19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-4399.04</c:v>
                </c:pt>
                <c:pt idx="4">
                  <c:v>-8051.73</c:v>
                </c:pt>
                <c:pt idx="5">
                  <c:v>0</c:v>
                </c:pt>
                <c:pt idx="6">
                  <c:v>-830</c:v>
                </c:pt>
                <c:pt idx="7">
                  <c:v>-2515.42</c:v>
                </c:pt>
                <c:pt idx="8">
                  <c:v>-1606.21</c:v>
                </c:pt>
                <c:pt idx="9">
                  <c:v>-836.7</c:v>
                </c:pt>
                <c:pt idx="10">
                  <c:v>-15462.1</c:v>
                </c:pt>
                <c:pt idx="11">
                  <c:v>-5150.3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D2-4F39-8678-F6D1391D2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7931360"/>
        <c:axId val="277929008"/>
        <c:axId val="0"/>
      </c:bar3DChart>
      <c:catAx>
        <c:axId val="2779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MES</a:t>
                </a:r>
              </a:p>
            </c:rich>
          </c:tx>
          <c:layout>
            <c:manualLayout>
              <c:xMode val="edge"/>
              <c:yMode val="edge"/>
              <c:x val="0.47222290869734773"/>
              <c:y val="0.839167490998298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792900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7792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MWh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1" i="0" strike="noStrike">
                    <a:solidFill>
                      <a:srgbClr val="FF0000"/>
                    </a:solidFill>
                    <a:latin typeface="Arial"/>
                    <a:cs typeface="Arial"/>
                  </a:rPr>
                  <a:t>Exportaciones</a:t>
                </a:r>
                <a:r>
                  <a:rPr lang="en-US" sz="900" b="1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       Importaciones</a:t>
                </a:r>
              </a:p>
            </c:rich>
          </c:tx>
          <c:layout>
            <c:manualLayout>
              <c:xMode val="edge"/>
              <c:yMode val="edge"/>
              <c:x val="1.4999978091219399E-2"/>
              <c:y val="0.15250029675938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7931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522537562604339"/>
          <c:y val="0.89949748743718594"/>
          <c:w val="0.72787979966611016"/>
          <c:h val="8.0402010050251257E-2"/>
        </c:manualLayout>
      </c:layout>
      <c:overlay val="0"/>
      <c:spPr>
        <a:gradFill rotWithShape="0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rect">
            <a:fillToRect l="50000" t="50000" r="50000" b="50000"/>
          </a:path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ES" sz="7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val="8488C4"/>
        </a:gs>
        <a:gs pos="53000">
          <a:srgbClr val="D4DEFF"/>
        </a:gs>
        <a:gs pos="83000">
          <a:srgbClr val="D4DEFF"/>
        </a:gs>
        <a:gs pos="100000">
          <a:srgbClr val="96AB94"/>
        </a:gs>
      </a:gsLst>
      <a:path path="rect">
        <a:fillToRect l="50000" t="50000" r="50000" b="5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11" r="0.750000000000001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47625</xdr:rowOff>
    </xdr:from>
    <xdr:to>
      <xdr:col>10</xdr:col>
      <xdr:colOff>9525</xdr:colOff>
      <xdr:row>28</xdr:row>
      <xdr:rowOff>9524</xdr:rowOff>
    </xdr:to>
    <xdr:graphicFrame macro="">
      <xdr:nvGraphicFramePr>
        <xdr:cNvPr id="2049" name="Chart 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10</xdr:col>
      <xdr:colOff>828675</xdr:colOff>
      <xdr:row>23</xdr:row>
      <xdr:rowOff>0</xdr:rowOff>
    </xdr:to>
    <xdr:graphicFrame macro="">
      <xdr:nvGraphicFramePr>
        <xdr:cNvPr id="4097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24</xdr:row>
      <xdr:rowOff>0</xdr:rowOff>
    </xdr:from>
    <xdr:to>
      <xdr:col>18</xdr:col>
      <xdr:colOff>9525</xdr:colOff>
      <xdr:row>44</xdr:row>
      <xdr:rowOff>161925</xdr:rowOff>
    </xdr:to>
    <xdr:graphicFrame macro="">
      <xdr:nvGraphicFramePr>
        <xdr:cNvPr id="6146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18</xdr:col>
      <xdr:colOff>9525</xdr:colOff>
      <xdr:row>66</xdr:row>
      <xdr:rowOff>9525</xdr:rowOff>
    </xdr:to>
    <xdr:graphicFrame macro="">
      <xdr:nvGraphicFramePr>
        <xdr:cNvPr id="6147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</xdr:row>
      <xdr:rowOff>0</xdr:rowOff>
    </xdr:from>
    <xdr:to>
      <xdr:col>18</xdr:col>
      <xdr:colOff>0</xdr:colOff>
      <xdr:row>23</xdr:row>
      <xdr:rowOff>0</xdr:rowOff>
    </xdr:to>
    <xdr:graphicFrame macro="">
      <xdr:nvGraphicFramePr>
        <xdr:cNvPr id="6148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67</xdr:row>
      <xdr:rowOff>0</xdr:rowOff>
    </xdr:from>
    <xdr:to>
      <xdr:col>18</xdr:col>
      <xdr:colOff>28575</xdr:colOff>
      <xdr:row>87</xdr:row>
      <xdr:rowOff>28575</xdr:rowOff>
    </xdr:to>
    <xdr:graphicFrame macro="">
      <xdr:nvGraphicFramePr>
        <xdr:cNvPr id="6149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18</xdr:col>
      <xdr:colOff>9525</xdr:colOff>
      <xdr:row>108</xdr:row>
      <xdr:rowOff>9525</xdr:rowOff>
    </xdr:to>
    <xdr:graphicFrame macro="">
      <xdr:nvGraphicFramePr>
        <xdr:cNvPr id="615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164592</xdr:colOff>
      <xdr:row>3</xdr:row>
      <xdr:rowOff>12192</xdr:rowOff>
    </xdr:from>
    <xdr:to>
      <xdr:col>9</xdr:col>
      <xdr:colOff>21717</xdr:colOff>
      <xdr:row>23</xdr:row>
      <xdr:rowOff>36575</xdr:rowOff>
    </xdr:to>
    <xdr:graphicFrame macro="">
      <xdr:nvGraphicFramePr>
        <xdr:cNvPr id="1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109</xdr:row>
      <xdr:rowOff>0</xdr:rowOff>
    </xdr:from>
    <xdr:to>
      <xdr:col>17</xdr:col>
      <xdr:colOff>706755</xdr:colOff>
      <xdr:row>128</xdr:row>
      <xdr:rowOff>169926</xdr:rowOff>
    </xdr:to>
    <xdr:graphicFrame macro="">
      <xdr:nvGraphicFramePr>
        <xdr:cNvPr id="1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109</xdr:row>
      <xdr:rowOff>0</xdr:rowOff>
    </xdr:from>
    <xdr:to>
      <xdr:col>8</xdr:col>
      <xdr:colOff>725805</xdr:colOff>
      <xdr:row>129</xdr:row>
      <xdr:rowOff>169926</xdr:rowOff>
    </xdr:to>
    <xdr:graphicFrame macro="">
      <xdr:nvGraphicFramePr>
        <xdr:cNvPr id="2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12192</xdr:colOff>
      <xdr:row>87</xdr:row>
      <xdr:rowOff>158496</xdr:rowOff>
    </xdr:from>
    <xdr:to>
      <xdr:col>8</xdr:col>
      <xdr:colOff>728472</xdr:colOff>
      <xdr:row>107</xdr:row>
      <xdr:rowOff>158496</xdr:rowOff>
    </xdr:to>
    <xdr:graphicFrame macro="">
      <xdr:nvGraphicFramePr>
        <xdr:cNvPr id="2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134112</xdr:colOff>
      <xdr:row>65</xdr:row>
      <xdr:rowOff>158496</xdr:rowOff>
    </xdr:from>
    <xdr:to>
      <xdr:col>8</xdr:col>
      <xdr:colOff>722757</xdr:colOff>
      <xdr:row>86</xdr:row>
      <xdr:rowOff>137541</xdr:rowOff>
    </xdr:to>
    <xdr:graphicFrame macro="">
      <xdr:nvGraphicFramePr>
        <xdr:cNvPr id="2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158496</xdr:colOff>
      <xdr:row>44</xdr:row>
      <xdr:rowOff>134112</xdr:rowOff>
    </xdr:from>
    <xdr:to>
      <xdr:col>9</xdr:col>
      <xdr:colOff>15621</xdr:colOff>
      <xdr:row>64</xdr:row>
      <xdr:rowOff>134112</xdr:rowOff>
    </xdr:to>
    <xdr:graphicFrame macro="">
      <xdr:nvGraphicFramePr>
        <xdr:cNvPr id="2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12192</xdr:colOff>
      <xdr:row>23</xdr:row>
      <xdr:rowOff>176784</xdr:rowOff>
    </xdr:from>
    <xdr:to>
      <xdr:col>9</xdr:col>
      <xdr:colOff>52197</xdr:colOff>
      <xdr:row>43</xdr:row>
      <xdr:rowOff>176784</xdr:rowOff>
    </xdr:to>
    <xdr:graphicFrame macro="">
      <xdr:nvGraphicFramePr>
        <xdr:cNvPr id="2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163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27</xdr:row>
      <xdr:rowOff>0</xdr:rowOff>
    </xdr:from>
    <xdr:to>
      <xdr:col>9</xdr:col>
      <xdr:colOff>0</xdr:colOff>
      <xdr:row>47</xdr:row>
      <xdr:rowOff>0</xdr:rowOff>
    </xdr:to>
    <xdr:graphicFrame macro="">
      <xdr:nvGraphicFramePr>
        <xdr:cNvPr id="163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2" tint="-9.9978637043366805E-2"/>
  </sheetPr>
  <dimension ref="B1:X35"/>
  <sheetViews>
    <sheetView tabSelected="1" workbookViewId="0">
      <selection activeCell="O28" sqref="O28"/>
    </sheetView>
  </sheetViews>
  <sheetFormatPr baseColWidth="10" defaultColWidth="10.6640625" defaultRowHeight="15" customHeight="1"/>
  <cols>
    <col min="1" max="1" width="2.6640625" style="77" customWidth="1"/>
    <col min="2" max="10" width="10.6640625" style="77" customWidth="1"/>
    <col min="11" max="11" width="2.6640625" style="77" customWidth="1"/>
    <col min="12" max="16384" width="10.6640625" style="77"/>
  </cols>
  <sheetData>
    <row r="1" spans="2:24" ht="15" customHeight="1">
      <c r="B1" s="598" t="s">
        <v>22</v>
      </c>
      <c r="C1" s="598"/>
      <c r="D1" s="598"/>
      <c r="E1" s="598"/>
      <c r="F1" s="598"/>
      <c r="G1" s="598"/>
      <c r="H1" s="598"/>
      <c r="I1" s="598"/>
      <c r="J1" s="598"/>
    </row>
    <row r="2" spans="2:24" ht="15" customHeight="1">
      <c r="B2" s="599" t="s">
        <v>10</v>
      </c>
      <c r="C2" s="599"/>
      <c r="D2" s="599"/>
      <c r="E2" s="599"/>
      <c r="F2" s="599"/>
      <c r="G2" s="599"/>
      <c r="H2" s="599"/>
      <c r="I2" s="599"/>
      <c r="J2" s="599"/>
    </row>
    <row r="3" spans="2:24" ht="15" customHeight="1" thickBot="1">
      <c r="B3" s="599" t="s">
        <v>355</v>
      </c>
      <c r="C3" s="599"/>
      <c r="D3" s="599"/>
      <c r="E3" s="599"/>
      <c r="F3" s="599"/>
      <c r="G3" s="599"/>
      <c r="H3" s="599"/>
      <c r="I3" s="599"/>
      <c r="J3" s="599"/>
    </row>
    <row r="4" spans="2:24" ht="15" customHeight="1" thickBot="1">
      <c r="L4" s="332" t="s">
        <v>41</v>
      </c>
      <c r="M4" s="333" t="s">
        <v>75</v>
      </c>
      <c r="N4" s="334" t="s">
        <v>61</v>
      </c>
      <c r="O4" s="334" t="s">
        <v>76</v>
      </c>
      <c r="P4" s="334" t="s">
        <v>77</v>
      </c>
      <c r="Q4" s="334" t="s">
        <v>78</v>
      </c>
      <c r="R4" s="334" t="s">
        <v>79</v>
      </c>
      <c r="S4" s="334" t="s">
        <v>80</v>
      </c>
      <c r="T4" s="334" t="s">
        <v>81</v>
      </c>
      <c r="U4" s="334" t="s">
        <v>82</v>
      </c>
      <c r="V4" s="334" t="s">
        <v>83</v>
      </c>
      <c r="W4" s="334" t="s">
        <v>84</v>
      </c>
      <c r="X4" s="335" t="s">
        <v>85</v>
      </c>
    </row>
    <row r="5" spans="2:24" ht="15" customHeight="1">
      <c r="L5" s="328">
        <v>1999</v>
      </c>
      <c r="M5" s="83">
        <v>50.6</v>
      </c>
      <c r="N5" s="81">
        <v>44.88</v>
      </c>
      <c r="O5" s="81">
        <v>45.48</v>
      </c>
      <c r="P5" s="81">
        <v>46.68</v>
      </c>
      <c r="Q5" s="81">
        <v>44.83</v>
      </c>
      <c r="R5" s="81">
        <v>43.32</v>
      </c>
      <c r="S5" s="81">
        <v>45.77</v>
      </c>
      <c r="T5" s="81">
        <v>46.97</v>
      </c>
      <c r="U5" s="81">
        <v>45.52</v>
      </c>
      <c r="V5" s="81">
        <v>41.63</v>
      </c>
      <c r="W5" s="81">
        <v>41.38</v>
      </c>
      <c r="X5" s="82">
        <v>32.29</v>
      </c>
    </row>
    <row r="6" spans="2:24" ht="15" customHeight="1">
      <c r="L6" s="329">
        <v>2000</v>
      </c>
      <c r="M6" s="108">
        <v>32.46</v>
      </c>
      <c r="N6" s="109">
        <v>51.99</v>
      </c>
      <c r="O6" s="109">
        <v>56.07</v>
      </c>
      <c r="P6" s="109">
        <v>50.96</v>
      </c>
      <c r="Q6" s="109">
        <v>52.91</v>
      </c>
      <c r="R6" s="109">
        <v>52.64</v>
      </c>
      <c r="S6" s="109">
        <v>52.67</v>
      </c>
      <c r="T6" s="109">
        <v>51.54</v>
      </c>
      <c r="U6" s="109">
        <v>55.45</v>
      </c>
      <c r="V6" s="109">
        <v>57.91</v>
      </c>
      <c r="W6" s="109">
        <v>58.34</v>
      </c>
      <c r="X6" s="110">
        <v>57.03</v>
      </c>
    </row>
    <row r="7" spans="2:24" ht="15" customHeight="1">
      <c r="L7" s="330">
        <v>2001</v>
      </c>
      <c r="M7" s="163">
        <v>51.85</v>
      </c>
      <c r="N7" s="109">
        <v>53.63</v>
      </c>
      <c r="O7" s="109">
        <v>57</v>
      </c>
      <c r="P7" s="109">
        <v>57.55</v>
      </c>
      <c r="Q7" s="109">
        <v>60.28</v>
      </c>
      <c r="R7" s="109">
        <v>56.07</v>
      </c>
      <c r="S7" s="109">
        <v>48.13</v>
      </c>
      <c r="T7" s="109">
        <v>47.47</v>
      </c>
      <c r="U7" s="109">
        <v>49.56</v>
      </c>
      <c r="V7" s="109">
        <v>50.48</v>
      </c>
      <c r="W7" s="109">
        <v>46.54</v>
      </c>
      <c r="X7" s="110">
        <v>41.89</v>
      </c>
    </row>
    <row r="8" spans="2:24" ht="15" customHeight="1">
      <c r="L8" s="330">
        <v>2002</v>
      </c>
      <c r="M8" s="163">
        <v>39.840000000000003</v>
      </c>
      <c r="N8" s="109">
        <v>39.840000000000003</v>
      </c>
      <c r="O8" s="109">
        <v>40.61</v>
      </c>
      <c r="P8" s="109">
        <v>49.75</v>
      </c>
      <c r="Q8" s="109">
        <v>47.48</v>
      </c>
      <c r="R8" s="109">
        <v>44.38</v>
      </c>
      <c r="S8" s="109">
        <v>45.98</v>
      </c>
      <c r="T8" s="109">
        <v>49.44</v>
      </c>
      <c r="U8" s="109">
        <v>45.28</v>
      </c>
      <c r="V8" s="109">
        <v>48.9</v>
      </c>
      <c r="W8" s="109">
        <v>49.17</v>
      </c>
      <c r="X8" s="110">
        <v>45.99</v>
      </c>
    </row>
    <row r="9" spans="2:24" ht="15" customHeight="1">
      <c r="L9" s="330">
        <v>2003</v>
      </c>
      <c r="M9" s="163">
        <v>50.52</v>
      </c>
      <c r="N9" s="109">
        <v>60.8</v>
      </c>
      <c r="O9" s="109">
        <v>60.89</v>
      </c>
      <c r="P9" s="109">
        <v>65.05</v>
      </c>
      <c r="Q9" s="109">
        <v>52.05</v>
      </c>
      <c r="R9" s="109">
        <v>49.89</v>
      </c>
      <c r="S9" s="109">
        <v>52.9</v>
      </c>
      <c r="T9" s="109">
        <v>58.31</v>
      </c>
      <c r="U9" s="109">
        <v>56.77</v>
      </c>
      <c r="V9" s="109">
        <v>55.5</v>
      </c>
      <c r="W9" s="109">
        <v>53.8</v>
      </c>
      <c r="X9" s="110">
        <v>50.81</v>
      </c>
    </row>
    <row r="10" spans="2:24" ht="15" customHeight="1">
      <c r="L10" s="330">
        <v>2004</v>
      </c>
      <c r="M10" s="163">
        <v>52.01</v>
      </c>
      <c r="N10" s="109">
        <v>51.5</v>
      </c>
      <c r="O10" s="109">
        <v>58.61</v>
      </c>
      <c r="P10" s="109">
        <v>58.6</v>
      </c>
      <c r="Q10" s="109">
        <v>52.77</v>
      </c>
      <c r="R10" s="109">
        <v>55.17</v>
      </c>
      <c r="S10" s="109">
        <v>58.64</v>
      </c>
      <c r="T10" s="109">
        <v>58.49</v>
      </c>
      <c r="U10" s="109">
        <v>61.57</v>
      </c>
      <c r="V10" s="109">
        <v>63.11</v>
      </c>
      <c r="W10" s="109">
        <v>53.94</v>
      </c>
      <c r="X10" s="110">
        <v>48.74</v>
      </c>
    </row>
    <row r="11" spans="2:24" ht="15" customHeight="1">
      <c r="L11" s="331">
        <v>2005</v>
      </c>
      <c r="M11" s="224">
        <v>47.9</v>
      </c>
      <c r="N11" s="225">
        <v>57.71</v>
      </c>
      <c r="O11" s="225">
        <v>71.61</v>
      </c>
      <c r="P11" s="225">
        <v>83.66</v>
      </c>
      <c r="Q11" s="225">
        <v>87.65</v>
      </c>
      <c r="R11" s="225">
        <v>90.93</v>
      </c>
      <c r="S11" s="225">
        <v>103.45</v>
      </c>
      <c r="T11" s="225">
        <v>102.37</v>
      </c>
      <c r="U11" s="225">
        <v>106.2</v>
      </c>
      <c r="V11" s="225">
        <v>102.49</v>
      </c>
      <c r="W11" s="225">
        <v>107.81</v>
      </c>
      <c r="X11" s="226">
        <v>118.18</v>
      </c>
    </row>
    <row r="12" spans="2:24" ht="15" customHeight="1">
      <c r="L12" s="330">
        <v>2006</v>
      </c>
      <c r="M12" s="163">
        <v>138.66999999999999</v>
      </c>
      <c r="N12" s="109">
        <v>113.01</v>
      </c>
      <c r="O12" s="109">
        <v>112.29</v>
      </c>
      <c r="P12" s="109">
        <v>114.72</v>
      </c>
      <c r="Q12" s="109">
        <v>130.80000000000001</v>
      </c>
      <c r="R12" s="109">
        <v>126.55</v>
      </c>
      <c r="S12" s="109">
        <v>128.38</v>
      </c>
      <c r="T12" s="109">
        <v>124.62</v>
      </c>
      <c r="U12" s="109">
        <v>124.85</v>
      </c>
      <c r="V12" s="109">
        <v>125.64</v>
      </c>
      <c r="W12" s="109">
        <v>131.43</v>
      </c>
      <c r="X12" s="110">
        <v>136.22999999999999</v>
      </c>
    </row>
    <row r="13" spans="2:24" ht="15" customHeight="1">
      <c r="L13" s="331">
        <v>2007</v>
      </c>
      <c r="M13" s="224">
        <v>124.73</v>
      </c>
      <c r="N13" s="225">
        <v>129.05000000000001</v>
      </c>
      <c r="O13" s="225">
        <v>157.69</v>
      </c>
      <c r="P13" s="225">
        <v>202.64</v>
      </c>
      <c r="Q13" s="225">
        <v>265.14999999999998</v>
      </c>
      <c r="R13" s="225">
        <v>138.99</v>
      </c>
      <c r="S13" s="225">
        <v>145.41</v>
      </c>
      <c r="T13" s="225">
        <v>147.6</v>
      </c>
      <c r="U13" s="225">
        <v>140.41</v>
      </c>
      <c r="V13" s="225">
        <v>143.34</v>
      </c>
      <c r="W13" s="225">
        <v>145.24</v>
      </c>
      <c r="X13" s="226">
        <v>125.51</v>
      </c>
    </row>
    <row r="14" spans="2:24" ht="15" customHeight="1">
      <c r="L14" s="331">
        <v>2008</v>
      </c>
      <c r="M14" s="224">
        <v>150.13999999999999</v>
      </c>
      <c r="N14" s="225">
        <v>193.77</v>
      </c>
      <c r="O14" s="225">
        <v>212.97</v>
      </c>
      <c r="P14" s="225">
        <v>386.71</v>
      </c>
      <c r="Q14" s="225">
        <v>491.57</v>
      </c>
      <c r="R14" s="225">
        <v>272</v>
      </c>
      <c r="S14" s="225">
        <v>277.95999999999998</v>
      </c>
      <c r="T14" s="225">
        <v>227.4</v>
      </c>
      <c r="U14" s="225">
        <v>206.3</v>
      </c>
      <c r="V14" s="225">
        <v>190.25</v>
      </c>
      <c r="W14" s="225">
        <v>114.96</v>
      </c>
      <c r="X14" s="226">
        <v>65.97</v>
      </c>
    </row>
    <row r="15" spans="2:24" ht="15" customHeight="1">
      <c r="L15" s="331">
        <v>2009</v>
      </c>
      <c r="M15" s="224">
        <v>126.15</v>
      </c>
      <c r="N15" s="225">
        <v>116.69</v>
      </c>
      <c r="O15" s="225">
        <v>105.16</v>
      </c>
      <c r="P15" s="225">
        <v>120.35</v>
      </c>
      <c r="Q15" s="225">
        <v>124.24</v>
      </c>
      <c r="R15" s="225">
        <v>131.08000000000001</v>
      </c>
      <c r="S15" s="225">
        <v>134.94</v>
      </c>
      <c r="T15" s="225">
        <v>133.87</v>
      </c>
      <c r="U15" s="225">
        <v>149.81</v>
      </c>
      <c r="V15" s="225">
        <v>195.9</v>
      </c>
      <c r="W15" s="225">
        <v>209.32</v>
      </c>
      <c r="X15" s="226">
        <v>295.76</v>
      </c>
    </row>
    <row r="16" spans="2:24" ht="15" customHeight="1">
      <c r="L16" s="330">
        <v>2010</v>
      </c>
      <c r="M16" s="163">
        <v>302.5</v>
      </c>
      <c r="N16" s="109">
        <v>305.75</v>
      </c>
      <c r="O16" s="109">
        <v>156.82</v>
      </c>
      <c r="P16" s="109">
        <v>157.18</v>
      </c>
      <c r="Q16" s="109">
        <v>185.75</v>
      </c>
      <c r="R16" s="109">
        <v>192.8</v>
      </c>
      <c r="S16" s="109">
        <v>158.63</v>
      </c>
      <c r="T16" s="109">
        <v>155.63</v>
      </c>
      <c r="U16" s="109">
        <v>134.31</v>
      </c>
      <c r="V16" s="109">
        <v>135.07</v>
      </c>
      <c r="W16" s="109">
        <v>130.11000000000001</v>
      </c>
      <c r="X16" s="110">
        <v>124.65</v>
      </c>
    </row>
    <row r="17" spans="12:24" ht="15" customHeight="1">
      <c r="L17" s="330">
        <v>2011</v>
      </c>
      <c r="M17" s="163">
        <v>151.62</v>
      </c>
      <c r="N17" s="109">
        <v>191.06</v>
      </c>
      <c r="O17" s="109">
        <v>221.26</v>
      </c>
      <c r="P17" s="109">
        <v>240.94</v>
      </c>
      <c r="Q17" s="109">
        <v>277.94</v>
      </c>
      <c r="R17" s="109">
        <v>266.95999999999998</v>
      </c>
      <c r="S17" s="109">
        <v>265.11</v>
      </c>
      <c r="T17" s="109">
        <v>279.06</v>
      </c>
      <c r="U17" s="109">
        <v>247.82</v>
      </c>
      <c r="V17" s="109">
        <v>225.38</v>
      </c>
      <c r="W17" s="109">
        <v>169.8</v>
      </c>
      <c r="X17" s="110">
        <v>129.54</v>
      </c>
    </row>
    <row r="18" spans="12:24" ht="15" customHeight="1">
      <c r="L18" s="330">
        <v>2012</v>
      </c>
      <c r="M18" s="163">
        <v>200.51</v>
      </c>
      <c r="N18" s="109">
        <v>226.66</v>
      </c>
      <c r="O18" s="109">
        <v>225.51</v>
      </c>
      <c r="P18" s="109">
        <v>213.5</v>
      </c>
      <c r="Q18" s="109">
        <v>203.44</v>
      </c>
      <c r="R18" s="109">
        <v>185.97</v>
      </c>
      <c r="S18" s="109">
        <v>203.06</v>
      </c>
      <c r="T18" s="109">
        <v>176.17</v>
      </c>
      <c r="U18" s="109">
        <v>186.56</v>
      </c>
      <c r="V18" s="109">
        <v>189.75</v>
      </c>
      <c r="W18" s="109">
        <v>155.32</v>
      </c>
      <c r="X18" s="110">
        <v>158.62</v>
      </c>
    </row>
    <row r="19" spans="12:24" ht="15" customHeight="1">
      <c r="L19" s="330">
        <v>2013</v>
      </c>
      <c r="M19" s="163">
        <v>201.46</v>
      </c>
      <c r="N19" s="109">
        <v>295.10000000000002</v>
      </c>
      <c r="O19" s="109">
        <v>233.3</v>
      </c>
      <c r="P19" s="109">
        <v>248.05</v>
      </c>
      <c r="Q19" s="109">
        <v>297.02999999999997</v>
      </c>
      <c r="R19" s="109">
        <v>211.35</v>
      </c>
      <c r="S19" s="109">
        <v>210.41</v>
      </c>
      <c r="T19" s="109">
        <v>175.26</v>
      </c>
      <c r="U19" s="109">
        <v>161.41</v>
      </c>
      <c r="V19" s="109">
        <v>143.62</v>
      </c>
      <c r="W19" s="109">
        <v>157.51</v>
      </c>
      <c r="X19" s="110">
        <v>212.61</v>
      </c>
    </row>
    <row r="20" spans="12:24" ht="15" customHeight="1">
      <c r="L20" s="330">
        <v>2014</v>
      </c>
      <c r="M20" s="163">
        <v>285.95999999999998</v>
      </c>
      <c r="N20" s="109">
        <v>284.83999999999997</v>
      </c>
      <c r="O20" s="109">
        <v>291.94</v>
      </c>
      <c r="P20" s="109">
        <v>283.39999999999998</v>
      </c>
      <c r="Q20" s="109">
        <v>261.47000000000003</v>
      </c>
      <c r="R20" s="109">
        <v>227.32</v>
      </c>
      <c r="S20" s="109">
        <v>250.02</v>
      </c>
      <c r="T20" s="109">
        <v>216.99</v>
      </c>
      <c r="U20" s="109">
        <v>157.93</v>
      </c>
      <c r="V20" s="109">
        <v>109.48</v>
      </c>
      <c r="W20" s="109">
        <v>107.8</v>
      </c>
      <c r="X20" s="110">
        <v>127.51</v>
      </c>
    </row>
    <row r="21" spans="12:24" ht="15" customHeight="1">
      <c r="L21" s="330">
        <v>2015</v>
      </c>
      <c r="M21" s="163">
        <v>98.21</v>
      </c>
      <c r="N21" s="109">
        <v>101.95</v>
      </c>
      <c r="O21" s="109">
        <v>99.45</v>
      </c>
      <c r="P21" s="109">
        <v>95.04</v>
      </c>
      <c r="Q21" s="109">
        <v>101.66</v>
      </c>
      <c r="R21" s="109">
        <v>98.18</v>
      </c>
      <c r="S21" s="109">
        <v>72.819999999999993</v>
      </c>
      <c r="T21" s="109">
        <v>90.52</v>
      </c>
      <c r="U21" s="109">
        <v>80.55</v>
      </c>
      <c r="V21" s="109">
        <v>79.59</v>
      </c>
      <c r="W21" s="109">
        <v>83.04</v>
      </c>
      <c r="X21" s="110">
        <v>92.56</v>
      </c>
    </row>
    <row r="22" spans="12:24" ht="15" customHeight="1">
      <c r="L22" s="331">
        <v>2016</v>
      </c>
      <c r="M22" s="224">
        <v>94.72</v>
      </c>
      <c r="N22" s="225">
        <v>43.24</v>
      </c>
      <c r="O22" s="225">
        <v>57.8</v>
      </c>
      <c r="P22" s="225">
        <v>67.709999999999994</v>
      </c>
      <c r="Q22" s="225">
        <v>74.069999999999993</v>
      </c>
      <c r="R22" s="225">
        <v>60.17</v>
      </c>
      <c r="S22" s="225">
        <v>58.53</v>
      </c>
      <c r="T22" s="225">
        <v>61.07</v>
      </c>
      <c r="U22" s="225">
        <v>63.89</v>
      </c>
      <c r="V22" s="225">
        <v>65.03</v>
      </c>
      <c r="W22" s="225">
        <v>50.58</v>
      </c>
      <c r="X22" s="226">
        <v>27.85</v>
      </c>
    </row>
    <row r="23" spans="12:24" ht="15" customHeight="1">
      <c r="L23" s="331">
        <v>2017</v>
      </c>
      <c r="M23" s="224">
        <v>59.05</v>
      </c>
      <c r="N23" s="225">
        <v>87.14</v>
      </c>
      <c r="O23" s="225">
        <v>87.62</v>
      </c>
      <c r="P23" s="225">
        <v>90.52</v>
      </c>
      <c r="Q23" s="225">
        <v>59.04</v>
      </c>
      <c r="R23" s="225">
        <v>44.17</v>
      </c>
      <c r="S23" s="225">
        <v>34.700000000000003</v>
      </c>
      <c r="T23" s="225">
        <v>44.5</v>
      </c>
      <c r="U23" s="225">
        <v>32.11</v>
      </c>
      <c r="V23" s="225">
        <v>43.29</v>
      </c>
      <c r="W23" s="225">
        <v>76.11</v>
      </c>
      <c r="X23" s="226">
        <v>43.88</v>
      </c>
    </row>
    <row r="24" spans="12:24" ht="15" customHeight="1">
      <c r="L24" s="330">
        <v>2018</v>
      </c>
      <c r="M24" s="163">
        <v>27.74</v>
      </c>
      <c r="N24" s="109">
        <v>91.1</v>
      </c>
      <c r="O24" s="109">
        <v>93.37</v>
      </c>
      <c r="P24" s="109">
        <v>97.71</v>
      </c>
      <c r="Q24" s="109">
        <v>105.47</v>
      </c>
      <c r="R24" s="109">
        <v>90.57</v>
      </c>
      <c r="S24" s="109">
        <v>75.48</v>
      </c>
      <c r="T24" s="109">
        <v>81.42</v>
      </c>
      <c r="U24" s="109">
        <v>63.4</v>
      </c>
      <c r="V24" s="109">
        <v>48.06</v>
      </c>
      <c r="W24" s="109">
        <v>63.4</v>
      </c>
      <c r="X24" s="110">
        <v>82.7</v>
      </c>
    </row>
    <row r="25" spans="12:24" ht="15" customHeight="1">
      <c r="L25" s="330">
        <v>2019</v>
      </c>
      <c r="M25" s="163">
        <v>97.17</v>
      </c>
      <c r="N25" s="109">
        <v>108.39</v>
      </c>
      <c r="O25" s="109">
        <v>111.57</v>
      </c>
      <c r="P25" s="109">
        <v>118.56</v>
      </c>
      <c r="Q25" s="109">
        <v>108.2</v>
      </c>
      <c r="R25" s="109">
        <v>81.010000000000005</v>
      </c>
      <c r="S25" s="109">
        <v>81.45</v>
      </c>
      <c r="T25" s="109">
        <v>89.31</v>
      </c>
      <c r="U25" s="109">
        <v>86.73</v>
      </c>
      <c r="V25" s="109">
        <v>66.03</v>
      </c>
      <c r="W25" s="109">
        <v>68.150000000000006</v>
      </c>
      <c r="X25" s="110">
        <v>86.25</v>
      </c>
    </row>
    <row r="26" spans="12:24" ht="15" customHeight="1">
      <c r="L26" s="330">
        <v>2020</v>
      </c>
      <c r="M26" s="163">
        <v>70.22</v>
      </c>
      <c r="N26" s="109">
        <v>64.75</v>
      </c>
      <c r="O26" s="109">
        <v>62.87</v>
      </c>
      <c r="P26" s="109">
        <v>44.75</v>
      </c>
      <c r="Q26" s="109">
        <v>43.22</v>
      </c>
      <c r="R26" s="109">
        <v>41.225000000000001</v>
      </c>
      <c r="S26" s="109">
        <v>39.93</v>
      </c>
      <c r="T26" s="109">
        <v>43.42</v>
      </c>
      <c r="U26" s="109">
        <v>41.6</v>
      </c>
      <c r="V26" s="109">
        <v>43.16</v>
      </c>
      <c r="W26" s="109">
        <v>24.46</v>
      </c>
      <c r="X26" s="110">
        <v>43.99</v>
      </c>
    </row>
    <row r="27" spans="12:24" ht="15" customHeight="1" thickBot="1">
      <c r="L27" s="715">
        <v>2021</v>
      </c>
      <c r="M27" s="111">
        <v>60.47</v>
      </c>
      <c r="N27" s="79">
        <v>66.23</v>
      </c>
      <c r="O27" s="79">
        <v>85.78</v>
      </c>
      <c r="P27" s="79">
        <v>64.180000000000007</v>
      </c>
      <c r="Q27" s="79">
        <v>54.9</v>
      </c>
      <c r="R27" s="79">
        <v>69.31</v>
      </c>
      <c r="S27" s="79">
        <v>64.78</v>
      </c>
      <c r="T27" s="79">
        <v>56.16</v>
      </c>
      <c r="U27" s="79">
        <v>54.44</v>
      </c>
      <c r="V27" s="79">
        <v>68.86</v>
      </c>
      <c r="W27" s="79">
        <v>86.72</v>
      </c>
      <c r="X27" s="80">
        <v>129.11000000000001</v>
      </c>
    </row>
    <row r="28" spans="12:24" ht="15" customHeight="1">
      <c r="N28"/>
      <c r="O28"/>
      <c r="P28"/>
    </row>
    <row r="29" spans="12:24" ht="15" customHeight="1">
      <c r="N29"/>
      <c r="O29"/>
      <c r="P29"/>
    </row>
    <row r="30" spans="12:24" ht="15" customHeight="1">
      <c r="N30"/>
      <c r="O30"/>
      <c r="P30"/>
    </row>
    <row r="31" spans="12:24" ht="15" customHeight="1">
      <c r="N31"/>
      <c r="O31"/>
      <c r="P31"/>
    </row>
    <row r="32" spans="12:24" ht="15" customHeight="1">
      <c r="N32"/>
    </row>
    <row r="33" spans="14:14" ht="15" customHeight="1">
      <c r="N33"/>
    </row>
    <row r="34" spans="14:14" ht="15" customHeight="1">
      <c r="N34"/>
    </row>
    <row r="35" spans="14:14" ht="15" customHeight="1">
      <c r="N35"/>
    </row>
  </sheetData>
  <mergeCells count="3">
    <mergeCell ref="B1:J1"/>
    <mergeCell ref="B2:J2"/>
    <mergeCell ref="B3:J3"/>
  </mergeCells>
  <phoneticPr fontId="13" type="noConversion"/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4" tint="0.59999389629810485"/>
  </sheetPr>
  <dimension ref="B1:Y30"/>
  <sheetViews>
    <sheetView topLeftCell="E1" workbookViewId="0">
      <selection activeCell="U15" sqref="U15"/>
    </sheetView>
  </sheetViews>
  <sheetFormatPr baseColWidth="10" defaultColWidth="11.44140625" defaultRowHeight="15" customHeight="1"/>
  <cols>
    <col min="1" max="1" width="2.6640625" style="10" customWidth="1"/>
    <col min="2" max="2" width="20.6640625" style="11" customWidth="1"/>
    <col min="3" max="3" width="10.6640625" style="9" customWidth="1"/>
    <col min="4" max="4" width="10.109375" style="9" customWidth="1"/>
    <col min="5" max="5" width="10" style="10" customWidth="1"/>
    <col min="6" max="6" width="9.44140625" style="10" customWidth="1"/>
    <col min="7" max="7" width="10.44140625" style="10" customWidth="1"/>
    <col min="8" max="8" width="9.88671875" style="10" customWidth="1"/>
    <col min="9" max="9" width="9.33203125" style="10" customWidth="1"/>
    <col min="10" max="10" width="9.5546875" style="10" customWidth="1"/>
    <col min="11" max="11" width="9.44140625" style="10" customWidth="1"/>
    <col min="12" max="12" width="9.33203125" style="10" customWidth="1"/>
    <col min="13" max="13" width="9.88671875" style="10" customWidth="1"/>
    <col min="14" max="14" width="9.109375" style="10" customWidth="1"/>
    <col min="15" max="15" width="10.33203125" style="10" customWidth="1"/>
    <col min="16" max="16" width="9.6640625" style="10" customWidth="1"/>
    <col min="17" max="17" width="9" style="10" customWidth="1"/>
    <col min="18" max="18" width="9.5546875" style="10" customWidth="1"/>
    <col min="19" max="19" width="9.44140625" style="10" customWidth="1"/>
    <col min="20" max="20" width="9.5546875" style="10" customWidth="1"/>
    <col min="21" max="21" width="9.33203125" style="10" customWidth="1"/>
    <col min="22" max="22" width="9.44140625" style="10" customWidth="1"/>
    <col min="23" max="23" width="9.88671875" style="10" customWidth="1"/>
    <col min="24" max="16384" width="11.44140625" style="10"/>
  </cols>
  <sheetData>
    <row r="1" spans="2:25" ht="15" customHeight="1">
      <c r="B1" s="678" t="s">
        <v>32</v>
      </c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</row>
    <row r="2" spans="2:25" ht="15" customHeight="1">
      <c r="B2" s="678" t="s">
        <v>7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</row>
    <row r="3" spans="2:25" ht="15" customHeight="1">
      <c r="B3" s="678" t="s">
        <v>354</v>
      </c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  <c r="P3" s="678"/>
      <c r="Q3" s="678"/>
      <c r="R3" s="678"/>
      <c r="S3" s="678"/>
      <c r="T3" s="678"/>
      <c r="U3" s="678"/>
      <c r="V3" s="678"/>
      <c r="W3" s="678"/>
      <c r="X3" s="678"/>
      <c r="Y3" s="678"/>
    </row>
    <row r="4" spans="2:25" ht="15" customHeight="1" thickBot="1">
      <c r="B4" s="677" t="s">
        <v>5</v>
      </c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677"/>
    </row>
    <row r="5" spans="2:25" s="11" customFormat="1" ht="39.9" customHeight="1" thickBot="1">
      <c r="B5" s="422" t="s">
        <v>6</v>
      </c>
      <c r="C5" s="423">
        <v>1999</v>
      </c>
      <c r="D5" s="424">
        <v>2000</v>
      </c>
      <c r="E5" s="425">
        <v>2001</v>
      </c>
      <c r="F5" s="424">
        <v>2002</v>
      </c>
      <c r="G5" s="425">
        <v>2003</v>
      </c>
      <c r="H5" s="425">
        <v>2004</v>
      </c>
      <c r="I5" s="424">
        <v>2005</v>
      </c>
      <c r="J5" s="425">
        <v>2006</v>
      </c>
      <c r="K5" s="424">
        <v>2007</v>
      </c>
      <c r="L5" s="425">
        <v>2008</v>
      </c>
      <c r="M5" s="425">
        <v>2009</v>
      </c>
      <c r="N5" s="424">
        <v>2010</v>
      </c>
      <c r="O5" s="424">
        <v>2011</v>
      </c>
      <c r="P5" s="424">
        <v>2012</v>
      </c>
      <c r="Q5" s="424">
        <v>2013</v>
      </c>
      <c r="R5" s="424">
        <v>2014</v>
      </c>
      <c r="S5" s="424">
        <v>2015</v>
      </c>
      <c r="T5" s="425">
        <v>2016</v>
      </c>
      <c r="U5" s="424">
        <v>2017</v>
      </c>
      <c r="V5" s="425">
        <v>2018</v>
      </c>
      <c r="W5" s="425">
        <v>2019</v>
      </c>
      <c r="X5" s="425">
        <v>2020</v>
      </c>
      <c r="Y5" s="426">
        <v>2021</v>
      </c>
    </row>
    <row r="6" spans="2:25" ht="24.9" customHeight="1">
      <c r="B6" s="421" t="s">
        <v>44</v>
      </c>
      <c r="C6" s="133">
        <v>50.6</v>
      </c>
      <c r="D6" s="134">
        <v>32.46</v>
      </c>
      <c r="E6" s="158">
        <v>51.85</v>
      </c>
      <c r="F6" s="134">
        <v>39.840000000000003</v>
      </c>
      <c r="G6" s="192">
        <v>50.52</v>
      </c>
      <c r="H6" s="192">
        <v>52</v>
      </c>
      <c r="I6" s="134">
        <v>47.9</v>
      </c>
      <c r="J6" s="192">
        <v>138.66999999999999</v>
      </c>
      <c r="K6" s="134">
        <v>124.73</v>
      </c>
      <c r="L6" s="192">
        <v>150.13999999999999</v>
      </c>
      <c r="M6" s="192">
        <v>126.15120965027894</v>
      </c>
      <c r="N6" s="208">
        <v>302.5</v>
      </c>
      <c r="O6" s="208">
        <v>151.62</v>
      </c>
      <c r="P6" s="208">
        <v>200.51</v>
      </c>
      <c r="Q6" s="208">
        <v>201.46</v>
      </c>
      <c r="R6" s="208">
        <v>285.95999999999998</v>
      </c>
      <c r="S6" s="208">
        <v>98.21</v>
      </c>
      <c r="T6" s="207">
        <v>94.72</v>
      </c>
      <c r="U6" s="208">
        <v>59.05</v>
      </c>
      <c r="V6" s="207">
        <v>27.74</v>
      </c>
      <c r="W6" s="207">
        <v>97.17</v>
      </c>
      <c r="X6" s="207">
        <v>70.22</v>
      </c>
      <c r="Y6" s="161">
        <v>60.47</v>
      </c>
    </row>
    <row r="7" spans="2:25" ht="24.9" customHeight="1">
      <c r="B7" s="383" t="s">
        <v>45</v>
      </c>
      <c r="C7" s="101">
        <v>44.88</v>
      </c>
      <c r="D7" s="104">
        <v>51.99</v>
      </c>
      <c r="E7" s="159">
        <v>53.63</v>
      </c>
      <c r="F7" s="104">
        <v>39.840000000000003</v>
      </c>
      <c r="G7" s="193">
        <v>60.8</v>
      </c>
      <c r="H7" s="193">
        <v>56.81</v>
      </c>
      <c r="I7" s="104">
        <v>57.71</v>
      </c>
      <c r="J7" s="193">
        <v>113.01</v>
      </c>
      <c r="K7" s="104">
        <v>129.05000000000001</v>
      </c>
      <c r="L7" s="193">
        <v>193.77</v>
      </c>
      <c r="M7" s="193">
        <v>116.69</v>
      </c>
      <c r="N7" s="104">
        <v>305.75</v>
      </c>
      <c r="O7" s="104">
        <v>191.06</v>
      </c>
      <c r="P7" s="104">
        <v>226.66</v>
      </c>
      <c r="Q7" s="104">
        <v>295.10000000000002</v>
      </c>
      <c r="R7" s="104">
        <v>284.83999999999997</v>
      </c>
      <c r="S7" s="104">
        <v>101.95</v>
      </c>
      <c r="T7" s="193">
        <v>43.24</v>
      </c>
      <c r="U7" s="104">
        <v>87.14</v>
      </c>
      <c r="V7" s="193">
        <v>91.1</v>
      </c>
      <c r="W7" s="193">
        <v>108.39</v>
      </c>
      <c r="X7" s="193">
        <v>64.75</v>
      </c>
      <c r="Y7" s="161">
        <v>66.23</v>
      </c>
    </row>
    <row r="8" spans="2:25" ht="24.9" customHeight="1">
      <c r="B8" s="383" t="s">
        <v>46</v>
      </c>
      <c r="C8" s="101">
        <v>45.48</v>
      </c>
      <c r="D8" s="104">
        <v>56.07</v>
      </c>
      <c r="E8" s="159">
        <v>57</v>
      </c>
      <c r="F8" s="104">
        <v>40.61</v>
      </c>
      <c r="G8" s="193">
        <v>60.88</v>
      </c>
      <c r="H8" s="193">
        <v>58.61</v>
      </c>
      <c r="I8" s="104">
        <v>71.61</v>
      </c>
      <c r="J8" s="193">
        <v>112.29</v>
      </c>
      <c r="K8" s="104">
        <v>157.69</v>
      </c>
      <c r="L8" s="193">
        <v>212.97</v>
      </c>
      <c r="M8" s="193">
        <v>105.16</v>
      </c>
      <c r="N8" s="104">
        <v>156.82123398748558</v>
      </c>
      <c r="O8" s="104">
        <v>221.26</v>
      </c>
      <c r="P8" s="104">
        <v>225.51</v>
      </c>
      <c r="Q8" s="104">
        <v>233.3</v>
      </c>
      <c r="R8" s="104">
        <v>291.94</v>
      </c>
      <c r="S8" s="104">
        <v>99.45</v>
      </c>
      <c r="T8" s="193">
        <v>57.8</v>
      </c>
      <c r="U8" s="104">
        <v>87.62</v>
      </c>
      <c r="V8" s="193">
        <v>93.37</v>
      </c>
      <c r="W8" s="193">
        <v>111.57</v>
      </c>
      <c r="X8" s="193">
        <v>62.87</v>
      </c>
      <c r="Y8" s="161">
        <v>85.78</v>
      </c>
    </row>
    <row r="9" spans="2:25" ht="24.9" customHeight="1">
      <c r="B9" s="383" t="s">
        <v>47</v>
      </c>
      <c r="C9" s="101">
        <v>46.88</v>
      </c>
      <c r="D9" s="104">
        <v>50.96</v>
      </c>
      <c r="E9" s="159">
        <v>57.55</v>
      </c>
      <c r="F9" s="104">
        <v>49.75</v>
      </c>
      <c r="G9" s="193">
        <v>65.05</v>
      </c>
      <c r="H9" s="193">
        <v>58.6</v>
      </c>
      <c r="I9" s="104">
        <v>83.65</v>
      </c>
      <c r="J9" s="193">
        <v>114.72</v>
      </c>
      <c r="K9" s="104">
        <v>202.64</v>
      </c>
      <c r="L9" s="193">
        <v>386.71</v>
      </c>
      <c r="M9" s="193">
        <v>120.35</v>
      </c>
      <c r="N9" s="104">
        <v>157.18</v>
      </c>
      <c r="O9" s="104">
        <v>240.94</v>
      </c>
      <c r="P9" s="104">
        <v>213.5</v>
      </c>
      <c r="Q9" s="104">
        <v>248.05</v>
      </c>
      <c r="R9" s="104">
        <v>283.39999999999998</v>
      </c>
      <c r="S9" s="104">
        <v>95.04</v>
      </c>
      <c r="T9" s="193">
        <v>67.709999999999994</v>
      </c>
      <c r="U9" s="104">
        <v>90.52</v>
      </c>
      <c r="V9" s="193">
        <v>97.71</v>
      </c>
      <c r="W9" s="193">
        <v>118.56</v>
      </c>
      <c r="X9" s="193">
        <v>44.75</v>
      </c>
      <c r="Y9" s="161">
        <v>64.180000000000007</v>
      </c>
    </row>
    <row r="10" spans="2:25" ht="24.9" customHeight="1">
      <c r="B10" s="383" t="s">
        <v>48</v>
      </c>
      <c r="C10" s="101">
        <v>44.83</v>
      </c>
      <c r="D10" s="104">
        <v>52.91</v>
      </c>
      <c r="E10" s="159">
        <v>60.28</v>
      </c>
      <c r="F10" s="104">
        <v>47.48</v>
      </c>
      <c r="G10" s="193">
        <v>52.05</v>
      </c>
      <c r="H10" s="193">
        <v>52.76</v>
      </c>
      <c r="I10" s="104">
        <v>87.652000000000001</v>
      </c>
      <c r="J10" s="193">
        <v>130.80000000000001</v>
      </c>
      <c r="K10" s="104">
        <v>265.14999999999998</v>
      </c>
      <c r="L10" s="193">
        <v>491.56836629431831</v>
      </c>
      <c r="M10" s="193">
        <v>124.24164428149969</v>
      </c>
      <c r="N10" s="104">
        <v>185.75</v>
      </c>
      <c r="O10" s="104">
        <v>277.94</v>
      </c>
      <c r="P10" s="104">
        <v>203.44</v>
      </c>
      <c r="Q10" s="104">
        <v>297.02999999999997</v>
      </c>
      <c r="R10" s="104">
        <v>261.47000000000003</v>
      </c>
      <c r="S10" s="104">
        <v>101.66</v>
      </c>
      <c r="T10" s="193">
        <v>74.069999999999993</v>
      </c>
      <c r="U10" s="104">
        <v>59.04</v>
      </c>
      <c r="V10" s="193">
        <v>105.47</v>
      </c>
      <c r="W10" s="193">
        <v>108.2</v>
      </c>
      <c r="X10" s="193">
        <v>43.22</v>
      </c>
      <c r="Y10" s="161">
        <v>54.9</v>
      </c>
    </row>
    <row r="11" spans="2:25" ht="24.9" customHeight="1">
      <c r="B11" s="383" t="s">
        <v>49</v>
      </c>
      <c r="C11" s="101">
        <v>43.3</v>
      </c>
      <c r="D11" s="104">
        <v>52.64</v>
      </c>
      <c r="E11" s="159">
        <v>56.07</v>
      </c>
      <c r="F11" s="104">
        <v>44.38</v>
      </c>
      <c r="G11" s="193">
        <v>49.89</v>
      </c>
      <c r="H11" s="193">
        <v>55.17</v>
      </c>
      <c r="I11" s="104">
        <v>90.93</v>
      </c>
      <c r="J11" s="193">
        <v>126.55</v>
      </c>
      <c r="K11" s="104">
        <v>138.99</v>
      </c>
      <c r="L11" s="193">
        <v>272</v>
      </c>
      <c r="M11" s="193">
        <v>131.08000000000001</v>
      </c>
      <c r="N11" s="104">
        <v>192.8</v>
      </c>
      <c r="O11" s="104">
        <v>266.95999999999998</v>
      </c>
      <c r="P11" s="104">
        <v>185.97</v>
      </c>
      <c r="Q11" s="104">
        <v>211.35</v>
      </c>
      <c r="R11" s="104">
        <v>227.32</v>
      </c>
      <c r="S11" s="104">
        <v>98.18</v>
      </c>
      <c r="T11" s="193">
        <v>60.17</v>
      </c>
      <c r="U11" s="104">
        <v>44.17</v>
      </c>
      <c r="V11" s="193">
        <v>90.57</v>
      </c>
      <c r="W11" s="193">
        <v>81.010000000000005</v>
      </c>
      <c r="X11" s="193">
        <v>41.225000000000001</v>
      </c>
      <c r="Y11" s="161">
        <v>69.31</v>
      </c>
    </row>
    <row r="12" spans="2:25" ht="24.9" customHeight="1">
      <c r="B12" s="383" t="s">
        <v>50</v>
      </c>
      <c r="C12" s="101">
        <v>45.77</v>
      </c>
      <c r="D12" s="104">
        <v>52.67</v>
      </c>
      <c r="E12" s="159">
        <v>48.13</v>
      </c>
      <c r="F12" s="104">
        <v>45.98</v>
      </c>
      <c r="G12" s="193">
        <v>52.9</v>
      </c>
      <c r="H12" s="193">
        <v>58.64</v>
      </c>
      <c r="I12" s="104">
        <v>103.45</v>
      </c>
      <c r="J12" s="193">
        <v>128.38</v>
      </c>
      <c r="K12" s="104">
        <v>145.41</v>
      </c>
      <c r="L12" s="193">
        <v>277.95999999999998</v>
      </c>
      <c r="M12" s="193">
        <v>134.94008022321501</v>
      </c>
      <c r="N12" s="104">
        <v>158.63</v>
      </c>
      <c r="O12" s="104">
        <v>265.11</v>
      </c>
      <c r="P12" s="104">
        <v>203.06</v>
      </c>
      <c r="Q12" s="104">
        <v>210.41</v>
      </c>
      <c r="R12" s="104">
        <v>250.02</v>
      </c>
      <c r="S12" s="104">
        <v>72.819999999999993</v>
      </c>
      <c r="T12" s="193">
        <v>58.53</v>
      </c>
      <c r="U12" s="104">
        <v>34.700000000000003</v>
      </c>
      <c r="V12" s="193">
        <v>75.48</v>
      </c>
      <c r="W12" s="193">
        <v>81.45</v>
      </c>
      <c r="X12" s="193">
        <v>39.93</v>
      </c>
      <c r="Y12" s="161">
        <v>64.78</v>
      </c>
    </row>
    <row r="13" spans="2:25" ht="24.9" customHeight="1">
      <c r="B13" s="383" t="s">
        <v>51</v>
      </c>
      <c r="C13" s="101">
        <v>46.97</v>
      </c>
      <c r="D13" s="104">
        <v>51.54</v>
      </c>
      <c r="E13" s="159">
        <v>47.47</v>
      </c>
      <c r="F13" s="104">
        <v>49.44</v>
      </c>
      <c r="G13" s="193">
        <v>58.3</v>
      </c>
      <c r="H13" s="193">
        <v>58.48</v>
      </c>
      <c r="I13" s="104">
        <v>102.36</v>
      </c>
      <c r="J13" s="193">
        <v>124.62</v>
      </c>
      <c r="K13" s="104">
        <v>147.6</v>
      </c>
      <c r="L13" s="193">
        <v>227.4</v>
      </c>
      <c r="M13" s="193">
        <v>133.87</v>
      </c>
      <c r="N13" s="104">
        <v>155.62753687495646</v>
      </c>
      <c r="O13" s="104">
        <v>279.06</v>
      </c>
      <c r="P13" s="104">
        <v>176.17</v>
      </c>
      <c r="Q13" s="104">
        <v>175.26</v>
      </c>
      <c r="R13" s="104">
        <v>216.99</v>
      </c>
      <c r="S13" s="104">
        <v>90.52</v>
      </c>
      <c r="T13" s="193">
        <v>61.07</v>
      </c>
      <c r="U13" s="104">
        <v>44.5</v>
      </c>
      <c r="V13" s="193">
        <v>81.42</v>
      </c>
      <c r="W13" s="193">
        <v>89.31</v>
      </c>
      <c r="X13" s="193">
        <v>43.42</v>
      </c>
      <c r="Y13" s="161">
        <v>56.16</v>
      </c>
    </row>
    <row r="14" spans="2:25" ht="24.9" customHeight="1">
      <c r="B14" s="383" t="s">
        <v>65</v>
      </c>
      <c r="C14" s="101">
        <v>45.523982375004742</v>
      </c>
      <c r="D14" s="104">
        <v>55.45</v>
      </c>
      <c r="E14" s="159">
        <v>49.55</v>
      </c>
      <c r="F14" s="104">
        <v>45.28</v>
      </c>
      <c r="G14" s="193">
        <v>56.77</v>
      </c>
      <c r="H14" s="193">
        <v>61.57</v>
      </c>
      <c r="I14" s="104">
        <v>106.2</v>
      </c>
      <c r="J14" s="193">
        <v>124.85</v>
      </c>
      <c r="K14" s="104">
        <v>140.40945059473935</v>
      </c>
      <c r="L14" s="193">
        <v>206.3</v>
      </c>
      <c r="M14" s="193">
        <v>149.81</v>
      </c>
      <c r="N14" s="104">
        <v>134.31</v>
      </c>
      <c r="O14" s="104">
        <v>247.82</v>
      </c>
      <c r="P14" s="104">
        <v>186.56</v>
      </c>
      <c r="Q14" s="104">
        <v>161.41</v>
      </c>
      <c r="R14" s="104">
        <v>157.93</v>
      </c>
      <c r="S14" s="104">
        <v>80.55</v>
      </c>
      <c r="T14" s="193">
        <v>63.89</v>
      </c>
      <c r="U14" s="104">
        <v>32.11</v>
      </c>
      <c r="V14" s="193">
        <v>63.4</v>
      </c>
      <c r="W14" s="193">
        <v>86.73</v>
      </c>
      <c r="X14" s="193">
        <v>41.6</v>
      </c>
      <c r="Y14" s="161">
        <v>54.44</v>
      </c>
    </row>
    <row r="15" spans="2:25" ht="24.9" customHeight="1">
      <c r="B15" s="383" t="s">
        <v>53</v>
      </c>
      <c r="C15" s="101">
        <v>41.627333121539124</v>
      </c>
      <c r="D15" s="104">
        <v>57.91</v>
      </c>
      <c r="E15" s="159">
        <v>50.48</v>
      </c>
      <c r="F15" s="104">
        <v>48.89</v>
      </c>
      <c r="G15" s="193">
        <v>55.5</v>
      </c>
      <c r="H15" s="193">
        <v>63.11</v>
      </c>
      <c r="I15" s="104">
        <v>102.49</v>
      </c>
      <c r="J15" s="193">
        <v>125.64</v>
      </c>
      <c r="K15" s="104">
        <v>143.339</v>
      </c>
      <c r="L15" s="193">
        <v>190.25</v>
      </c>
      <c r="M15" s="193">
        <v>195.9</v>
      </c>
      <c r="N15" s="104">
        <v>135.07</v>
      </c>
      <c r="O15" s="104">
        <v>225.38</v>
      </c>
      <c r="P15" s="104">
        <v>189.75</v>
      </c>
      <c r="Q15" s="104">
        <v>143.62</v>
      </c>
      <c r="R15" s="104">
        <v>109.48</v>
      </c>
      <c r="S15" s="104">
        <v>79.59</v>
      </c>
      <c r="T15" s="193">
        <v>65.03</v>
      </c>
      <c r="U15" s="104">
        <v>43.29</v>
      </c>
      <c r="V15" s="193">
        <v>48.06</v>
      </c>
      <c r="W15" s="193">
        <v>66.03</v>
      </c>
      <c r="X15" s="193">
        <v>43.16</v>
      </c>
      <c r="Y15" s="161">
        <v>68.86</v>
      </c>
    </row>
    <row r="16" spans="2:25" ht="24.9" customHeight="1">
      <c r="B16" s="383" t="s">
        <v>54</v>
      </c>
      <c r="C16" s="101">
        <v>41.38</v>
      </c>
      <c r="D16" s="104">
        <v>58.34</v>
      </c>
      <c r="E16" s="159">
        <v>46.54</v>
      </c>
      <c r="F16" s="104">
        <v>49.172286426365559</v>
      </c>
      <c r="G16" s="193">
        <v>53.64</v>
      </c>
      <c r="H16" s="193">
        <v>53.94</v>
      </c>
      <c r="I16" s="104">
        <v>107.81</v>
      </c>
      <c r="J16" s="193">
        <v>131.43</v>
      </c>
      <c r="K16" s="104">
        <v>145.24</v>
      </c>
      <c r="L16" s="193">
        <v>114.96</v>
      </c>
      <c r="M16" s="193">
        <v>209.32</v>
      </c>
      <c r="N16" s="104">
        <v>130.10900000000001</v>
      </c>
      <c r="O16" s="104">
        <v>169.8</v>
      </c>
      <c r="P16" s="104">
        <v>155.32</v>
      </c>
      <c r="Q16" s="104">
        <v>157.51</v>
      </c>
      <c r="R16" s="104">
        <v>107.8</v>
      </c>
      <c r="S16" s="104">
        <v>83.04</v>
      </c>
      <c r="T16" s="193">
        <v>50.58</v>
      </c>
      <c r="U16" s="104">
        <v>76.11</v>
      </c>
      <c r="V16" s="193">
        <v>63.4</v>
      </c>
      <c r="W16" s="193">
        <v>68.150000000000006</v>
      </c>
      <c r="X16" s="193">
        <v>24.46</v>
      </c>
      <c r="Y16" s="161">
        <v>86.72</v>
      </c>
    </row>
    <row r="17" spans="2:25" ht="24.9" customHeight="1" thickBot="1">
      <c r="B17" s="385" t="s">
        <v>55</v>
      </c>
      <c r="C17" s="102">
        <v>32.29</v>
      </c>
      <c r="D17" s="105">
        <v>57.03</v>
      </c>
      <c r="E17" s="160">
        <v>41.89</v>
      </c>
      <c r="F17" s="105">
        <v>45.99</v>
      </c>
      <c r="G17" s="194">
        <v>50.81</v>
      </c>
      <c r="H17" s="194">
        <v>48.74</v>
      </c>
      <c r="I17" s="105">
        <v>118.18</v>
      </c>
      <c r="J17" s="194">
        <v>136.23114614708368</v>
      </c>
      <c r="K17" s="105">
        <v>125.50634889755564</v>
      </c>
      <c r="L17" s="194">
        <v>65.97</v>
      </c>
      <c r="M17" s="194">
        <v>295.76</v>
      </c>
      <c r="N17" s="105">
        <v>124.646</v>
      </c>
      <c r="O17" s="105">
        <v>129.54</v>
      </c>
      <c r="P17" s="105">
        <v>158.62</v>
      </c>
      <c r="Q17" s="105">
        <v>212.61</v>
      </c>
      <c r="R17" s="105">
        <v>127.51</v>
      </c>
      <c r="S17" s="105">
        <v>92.56</v>
      </c>
      <c r="T17" s="194">
        <v>27.85</v>
      </c>
      <c r="U17" s="105">
        <v>43.88</v>
      </c>
      <c r="V17" s="194">
        <v>82.7</v>
      </c>
      <c r="W17" s="194">
        <v>86.25</v>
      </c>
      <c r="X17" s="194">
        <v>43.99</v>
      </c>
      <c r="Y17" s="162">
        <v>129.11000000000001</v>
      </c>
    </row>
    <row r="18" spans="2:25" ht="15" customHeight="1">
      <c r="T18" s="533"/>
    </row>
    <row r="19" spans="2:25" s="3" customFormat="1" ht="15" customHeight="1">
      <c r="B19" s="2" t="s">
        <v>73</v>
      </c>
    </row>
    <row r="20" spans="2:25" ht="15" customHeight="1">
      <c r="C20" s="10"/>
      <c r="D20" s="10"/>
    </row>
    <row r="21" spans="2:25" ht="15" customHeight="1">
      <c r="C21" s="10"/>
      <c r="D21" s="10"/>
    </row>
    <row r="22" spans="2:25" ht="15" customHeight="1">
      <c r="C22" s="10"/>
      <c r="D22" s="10"/>
    </row>
    <row r="23" spans="2:25" ht="15" customHeight="1">
      <c r="C23" s="10"/>
      <c r="D23" s="10"/>
    </row>
    <row r="24" spans="2:25" ht="15" customHeight="1">
      <c r="C24" s="10"/>
      <c r="D24" s="10"/>
    </row>
    <row r="25" spans="2:25" ht="15" customHeight="1">
      <c r="C25" s="10"/>
      <c r="D25" s="10"/>
    </row>
    <row r="26" spans="2:25" ht="15" customHeight="1">
      <c r="C26" s="10"/>
      <c r="D26" s="10"/>
    </row>
    <row r="27" spans="2:25" ht="15" customHeight="1">
      <c r="C27" s="10"/>
      <c r="D27" s="10"/>
    </row>
    <row r="28" spans="2:25" ht="15" customHeight="1">
      <c r="C28" s="10"/>
      <c r="D28" s="10"/>
    </row>
    <row r="29" spans="2:25" ht="15" customHeight="1">
      <c r="C29" s="10"/>
      <c r="D29" s="10"/>
    </row>
    <row r="30" spans="2:25" ht="15" customHeight="1">
      <c r="C30" s="10"/>
      <c r="D30" s="10"/>
    </row>
  </sheetData>
  <mergeCells count="4">
    <mergeCell ref="B1:Y1"/>
    <mergeCell ref="B2:Y2"/>
    <mergeCell ref="B3:Y3"/>
    <mergeCell ref="B4:Y4"/>
  </mergeCells>
  <phoneticPr fontId="0" type="noConversion"/>
  <pageMargins left="1.2024015749999999" right="0.75" top="1" bottom="1" header="0.16" footer="0"/>
  <pageSetup scale="91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2" tint="-9.9978637043366805E-2"/>
  </sheetPr>
  <dimension ref="B1:R162"/>
  <sheetViews>
    <sheetView workbookViewId="0">
      <selection activeCell="R1" sqref="R1"/>
    </sheetView>
  </sheetViews>
  <sheetFormatPr baseColWidth="10" defaultColWidth="10.6640625" defaultRowHeight="15" customHeight="1"/>
  <cols>
    <col min="1" max="1" width="2.6640625" customWidth="1"/>
    <col min="2" max="10" width="10.6640625" customWidth="1"/>
    <col min="11" max="11" width="13" style="168" customWidth="1"/>
    <col min="12" max="12" width="1.6640625" style="168" customWidth="1"/>
    <col min="13" max="13" width="10.6640625" style="167" customWidth="1"/>
    <col min="14" max="17" width="10.6640625" style="87" customWidth="1"/>
  </cols>
  <sheetData>
    <row r="1" spans="2:18" ht="15" customHeight="1">
      <c r="B1" s="598" t="s">
        <v>23</v>
      </c>
      <c r="C1" s="598"/>
      <c r="D1" s="598"/>
      <c r="E1" s="598"/>
      <c r="F1" s="598"/>
      <c r="G1" s="598"/>
      <c r="H1" s="598"/>
      <c r="I1" s="598"/>
      <c r="J1" s="598"/>
      <c r="K1" s="598"/>
    </row>
    <row r="2" spans="2:18" ht="15" customHeight="1">
      <c r="B2" s="599" t="s">
        <v>26</v>
      </c>
      <c r="C2" s="599"/>
      <c r="D2" s="599"/>
      <c r="E2" s="599"/>
      <c r="F2" s="599"/>
      <c r="G2" s="599"/>
      <c r="H2" s="599"/>
      <c r="I2" s="599"/>
      <c r="J2" s="599"/>
      <c r="K2" s="599"/>
    </row>
    <row r="3" spans="2:18" ht="15" customHeight="1" thickBot="1">
      <c r="B3" s="599" t="s">
        <v>301</v>
      </c>
      <c r="C3" s="599"/>
      <c r="D3" s="599"/>
      <c r="E3" s="599"/>
      <c r="F3" s="599"/>
      <c r="G3" s="599"/>
      <c r="H3" s="599"/>
      <c r="I3" s="599"/>
      <c r="J3" s="599"/>
      <c r="K3" s="599"/>
      <c r="L3" s="169"/>
    </row>
    <row r="4" spans="2:18" ht="15" customHeight="1">
      <c r="K4" s="169"/>
      <c r="L4" s="169"/>
      <c r="M4" s="609" t="s">
        <v>6</v>
      </c>
      <c r="N4" s="606" t="s">
        <v>11</v>
      </c>
      <c r="O4" s="600" t="s">
        <v>12</v>
      </c>
      <c r="P4" s="601"/>
      <c r="Q4" s="602"/>
    </row>
    <row r="5" spans="2:18" ht="15" customHeight="1">
      <c r="K5" s="169"/>
      <c r="L5" s="169"/>
      <c r="M5" s="610"/>
      <c r="N5" s="607"/>
      <c r="O5" s="603"/>
      <c r="P5" s="604"/>
      <c r="Q5" s="605"/>
    </row>
    <row r="6" spans="2:18" ht="15" customHeight="1" thickBot="1">
      <c r="K6" s="169"/>
      <c r="L6" s="169"/>
      <c r="M6" s="611"/>
      <c r="N6" s="608"/>
      <c r="O6" s="360" t="s">
        <v>14</v>
      </c>
      <c r="P6" s="360" t="s">
        <v>13</v>
      </c>
      <c r="Q6" s="361" t="s">
        <v>300</v>
      </c>
    </row>
    <row r="7" spans="2:18" ht="15" customHeight="1">
      <c r="K7" s="169"/>
      <c r="L7" s="253"/>
      <c r="M7" s="336" t="s">
        <v>86</v>
      </c>
      <c r="N7" s="170">
        <v>79.020161290322562</v>
      </c>
      <c r="O7" s="165">
        <v>62.46</v>
      </c>
      <c r="P7" s="165">
        <v>56.45</v>
      </c>
      <c r="Q7" s="171">
        <v>62.05</v>
      </c>
    </row>
    <row r="8" spans="2:18" ht="15" customHeight="1">
      <c r="K8" s="169"/>
      <c r="L8" s="253"/>
      <c r="M8" s="337" t="s">
        <v>87</v>
      </c>
      <c r="N8" s="90">
        <v>98.745505952380967</v>
      </c>
      <c r="O8" s="88">
        <v>63.81</v>
      </c>
      <c r="P8" s="88">
        <v>57.55</v>
      </c>
      <c r="Q8" s="89">
        <v>63.3</v>
      </c>
    </row>
    <row r="9" spans="2:18" ht="15" customHeight="1">
      <c r="K9" s="169"/>
      <c r="L9" s="253"/>
      <c r="M9" s="337" t="s">
        <v>88</v>
      </c>
      <c r="N9" s="90">
        <v>134.00907258064515</v>
      </c>
      <c r="O9" s="88">
        <v>63.07</v>
      </c>
      <c r="P9" s="88">
        <v>56.94</v>
      </c>
      <c r="Q9" s="89">
        <v>62.61</v>
      </c>
    </row>
    <row r="10" spans="2:18" ht="15" customHeight="1">
      <c r="K10" s="169"/>
      <c r="L10" s="253"/>
      <c r="M10" s="337" t="s">
        <v>89</v>
      </c>
      <c r="N10" s="90">
        <v>148.98194444444445</v>
      </c>
      <c r="O10" s="88">
        <v>64.97</v>
      </c>
      <c r="P10" s="88">
        <v>58.5</v>
      </c>
      <c r="Q10" s="89">
        <v>64.37</v>
      </c>
    </row>
    <row r="11" spans="2:18" ht="15" customHeight="1">
      <c r="K11" s="169"/>
      <c r="L11" s="253"/>
      <c r="M11" s="337" t="s">
        <v>90</v>
      </c>
      <c r="N11" s="90">
        <v>144.20833333333334</v>
      </c>
      <c r="O11" s="88">
        <v>63.92</v>
      </c>
      <c r="P11" s="88">
        <v>57.65</v>
      </c>
      <c r="Q11" s="89">
        <v>63.4</v>
      </c>
    </row>
    <row r="12" spans="2:18" ht="15" customHeight="1">
      <c r="K12" s="169"/>
      <c r="L12" s="253"/>
      <c r="M12" s="337" t="s">
        <v>91</v>
      </c>
      <c r="N12" s="90">
        <v>140.84444444444443</v>
      </c>
      <c r="O12" s="88">
        <v>63.62</v>
      </c>
      <c r="P12" s="88">
        <v>57.4</v>
      </c>
      <c r="Q12" s="89">
        <v>63.12</v>
      </c>
    </row>
    <row r="13" spans="2:18" ht="15" customHeight="1">
      <c r="K13" s="169"/>
      <c r="L13" s="253"/>
      <c r="M13" s="337" t="s">
        <v>92</v>
      </c>
      <c r="N13" s="365">
        <v>63.76</v>
      </c>
      <c r="O13" s="88">
        <v>61.87</v>
      </c>
      <c r="P13" s="88">
        <v>56.14</v>
      </c>
      <c r="Q13" s="89">
        <v>59.4</v>
      </c>
      <c r="R13" s="364"/>
    </row>
    <row r="14" spans="2:18" ht="15" customHeight="1">
      <c r="K14" s="169"/>
      <c r="L14" s="253"/>
      <c r="M14" s="337" t="s">
        <v>93</v>
      </c>
      <c r="N14" s="365">
        <v>58.53</v>
      </c>
      <c r="O14" s="88">
        <v>61.66</v>
      </c>
      <c r="P14" s="88">
        <v>53.3</v>
      </c>
      <c r="Q14" s="89">
        <v>59.32</v>
      </c>
      <c r="R14" s="364"/>
    </row>
    <row r="15" spans="2:18" ht="15" customHeight="1">
      <c r="K15" s="169"/>
      <c r="L15" s="253"/>
      <c r="M15" s="337" t="s">
        <v>94</v>
      </c>
      <c r="N15" s="365">
        <v>54.48</v>
      </c>
      <c r="O15" s="88">
        <v>62.06</v>
      </c>
      <c r="P15" s="88">
        <v>56.35</v>
      </c>
      <c r="Q15" s="89">
        <v>58.87</v>
      </c>
      <c r="R15" s="364"/>
    </row>
    <row r="16" spans="2:18" ht="15" customHeight="1">
      <c r="K16" s="169"/>
      <c r="L16" s="253"/>
      <c r="M16" s="337" t="s">
        <v>95</v>
      </c>
      <c r="N16" s="365">
        <v>57.32</v>
      </c>
      <c r="O16" s="88">
        <v>60.23</v>
      </c>
      <c r="P16" s="88">
        <v>56.01</v>
      </c>
      <c r="Q16" s="89">
        <v>58.76</v>
      </c>
      <c r="R16" s="364"/>
    </row>
    <row r="17" spans="11:18" ht="15" customHeight="1">
      <c r="K17" s="169"/>
      <c r="L17" s="253"/>
      <c r="M17" s="337" t="s">
        <v>96</v>
      </c>
      <c r="N17" s="365">
        <v>56</v>
      </c>
      <c r="O17" s="88">
        <v>54.59</v>
      </c>
      <c r="P17" s="88">
        <v>47.1</v>
      </c>
      <c r="Q17" s="89">
        <v>53.36</v>
      </c>
      <c r="R17" s="364"/>
    </row>
    <row r="18" spans="11:18" ht="15" customHeight="1" thickBot="1">
      <c r="K18" s="169"/>
      <c r="L18" s="253"/>
      <c r="M18" s="338" t="s">
        <v>97</v>
      </c>
      <c r="N18" s="366">
        <v>50.78</v>
      </c>
      <c r="O18" s="113">
        <v>52.92</v>
      </c>
      <c r="P18" s="113">
        <v>46.61</v>
      </c>
      <c r="Q18" s="114">
        <v>51.2</v>
      </c>
      <c r="R18" s="364"/>
    </row>
    <row r="19" spans="11:18" ht="15" customHeight="1">
      <c r="K19" s="169"/>
      <c r="L19" s="253"/>
      <c r="M19" s="339" t="s">
        <v>98</v>
      </c>
      <c r="N19" s="367">
        <v>50.6</v>
      </c>
      <c r="O19" s="197">
        <v>53.48</v>
      </c>
      <c r="P19" s="197">
        <v>47.35</v>
      </c>
      <c r="Q19" s="199">
        <v>51.12</v>
      </c>
      <c r="R19" s="364"/>
    </row>
    <row r="20" spans="11:18" ht="15" customHeight="1">
      <c r="K20" s="169"/>
      <c r="L20" s="253"/>
      <c r="M20" s="337" t="s">
        <v>99</v>
      </c>
      <c r="N20" s="365">
        <v>44.88</v>
      </c>
      <c r="O20" s="88">
        <v>56.53</v>
      </c>
      <c r="P20" s="88">
        <v>48.09</v>
      </c>
      <c r="Q20" s="89">
        <v>55.31</v>
      </c>
      <c r="R20" s="364"/>
    </row>
    <row r="21" spans="11:18" ht="15" customHeight="1">
      <c r="K21" s="169"/>
      <c r="L21" s="253"/>
      <c r="M21" s="337" t="s">
        <v>100</v>
      </c>
      <c r="N21" s="365">
        <v>45.48</v>
      </c>
      <c r="O21" s="88">
        <v>54.13</v>
      </c>
      <c r="P21" s="88">
        <v>46.39</v>
      </c>
      <c r="Q21" s="89">
        <v>53.64</v>
      </c>
      <c r="R21" s="364"/>
    </row>
    <row r="22" spans="11:18" ht="15" customHeight="1">
      <c r="K22" s="169"/>
      <c r="L22" s="253"/>
      <c r="M22" s="337" t="s">
        <v>101</v>
      </c>
      <c r="N22" s="365">
        <v>46.88</v>
      </c>
      <c r="O22" s="88">
        <v>55.43</v>
      </c>
      <c r="P22" s="88">
        <v>46.82</v>
      </c>
      <c r="Q22" s="89">
        <v>54.28</v>
      </c>
      <c r="R22" s="364"/>
    </row>
    <row r="23" spans="11:18" ht="15" customHeight="1">
      <c r="K23" s="169"/>
      <c r="L23" s="253"/>
      <c r="M23" s="337" t="s">
        <v>102</v>
      </c>
      <c r="N23" s="365">
        <v>44.83</v>
      </c>
      <c r="O23" s="88">
        <v>55.88</v>
      </c>
      <c r="P23" s="88">
        <v>46.96</v>
      </c>
      <c r="Q23" s="89">
        <v>54.48</v>
      </c>
      <c r="R23" s="364"/>
    </row>
    <row r="24" spans="11:18" ht="15" customHeight="1">
      <c r="K24" s="169"/>
      <c r="L24" s="253"/>
      <c r="M24" s="337" t="s">
        <v>103</v>
      </c>
      <c r="N24" s="365">
        <v>43.3</v>
      </c>
      <c r="O24" s="88">
        <v>56.08</v>
      </c>
      <c r="P24" s="88">
        <v>47.83</v>
      </c>
      <c r="Q24" s="89">
        <v>55.15</v>
      </c>
      <c r="R24" s="364"/>
    </row>
    <row r="25" spans="11:18" ht="15" customHeight="1">
      <c r="K25" s="169"/>
      <c r="L25" s="253"/>
      <c r="M25" s="337" t="s">
        <v>104</v>
      </c>
      <c r="N25" s="365">
        <v>45.77</v>
      </c>
      <c r="O25" s="88">
        <v>59.38</v>
      </c>
      <c r="P25" s="88">
        <v>47.95</v>
      </c>
      <c r="Q25" s="89">
        <v>56.1</v>
      </c>
      <c r="R25" s="364"/>
    </row>
    <row r="26" spans="11:18" ht="15" customHeight="1">
      <c r="K26" s="169"/>
      <c r="L26" s="253"/>
      <c r="M26" s="337" t="s">
        <v>105</v>
      </c>
      <c r="N26" s="365">
        <v>46.97</v>
      </c>
      <c r="O26" s="88">
        <v>59.13</v>
      </c>
      <c r="P26" s="88">
        <v>47.94</v>
      </c>
      <c r="Q26" s="89">
        <v>56.97</v>
      </c>
      <c r="R26" s="364"/>
    </row>
    <row r="27" spans="11:18" ht="15" customHeight="1">
      <c r="K27" s="169"/>
      <c r="L27" s="253"/>
      <c r="M27" s="337" t="s">
        <v>106</v>
      </c>
      <c r="N27" s="365">
        <v>45.523982375004742</v>
      </c>
      <c r="O27" s="88">
        <v>60.48</v>
      </c>
      <c r="P27" s="88">
        <v>48.21</v>
      </c>
      <c r="Q27" s="89">
        <v>58.66</v>
      </c>
      <c r="R27" s="364"/>
    </row>
    <row r="28" spans="11:18" ht="15" customHeight="1">
      <c r="K28" s="169"/>
      <c r="L28" s="253"/>
      <c r="M28" s="337" t="s">
        <v>107</v>
      </c>
      <c r="N28" s="365">
        <v>41.627333121539124</v>
      </c>
      <c r="O28" s="88">
        <v>59.61</v>
      </c>
      <c r="P28" s="88">
        <v>47.7</v>
      </c>
      <c r="Q28" s="89">
        <v>58.66</v>
      </c>
      <c r="R28" s="364"/>
    </row>
    <row r="29" spans="11:18" ht="15" customHeight="1">
      <c r="K29" s="169"/>
      <c r="L29" s="253"/>
      <c r="M29" s="337" t="s">
        <v>108</v>
      </c>
      <c r="N29" s="365">
        <v>41.38</v>
      </c>
      <c r="O29" s="88">
        <v>58.61</v>
      </c>
      <c r="P29" s="88">
        <v>48.38</v>
      </c>
      <c r="Q29" s="89">
        <v>59.64</v>
      </c>
      <c r="R29" s="364"/>
    </row>
    <row r="30" spans="11:18" ht="15" customHeight="1" thickBot="1">
      <c r="K30" s="169"/>
      <c r="L30" s="253"/>
      <c r="M30" s="338" t="s">
        <v>109</v>
      </c>
      <c r="N30" s="366">
        <v>32.29</v>
      </c>
      <c r="O30" s="113">
        <v>58.26</v>
      </c>
      <c r="P30" s="113">
        <v>47.19</v>
      </c>
      <c r="Q30" s="114">
        <v>59.37</v>
      </c>
      <c r="R30" s="364"/>
    </row>
    <row r="31" spans="11:18" ht="15" customHeight="1">
      <c r="K31" s="169"/>
      <c r="L31" s="253"/>
      <c r="M31" s="339" t="s">
        <v>110</v>
      </c>
      <c r="N31" s="367">
        <v>32.46</v>
      </c>
      <c r="O31" s="197">
        <v>56.96</v>
      </c>
      <c r="P31" s="197">
        <v>47.95</v>
      </c>
      <c r="Q31" s="199">
        <v>58.18</v>
      </c>
      <c r="R31" s="364"/>
    </row>
    <row r="32" spans="11:18" ht="15" customHeight="1">
      <c r="K32" s="169"/>
      <c r="L32" s="253"/>
      <c r="M32" s="337" t="s">
        <v>111</v>
      </c>
      <c r="N32" s="365">
        <v>51.99</v>
      </c>
      <c r="O32" s="88">
        <v>57.14</v>
      </c>
      <c r="P32" s="88">
        <v>48.33</v>
      </c>
      <c r="Q32" s="89">
        <v>59.42</v>
      </c>
      <c r="R32" s="364"/>
    </row>
    <row r="33" spans="11:18" ht="15" customHeight="1">
      <c r="K33" s="169"/>
      <c r="L33" s="253"/>
      <c r="M33" s="337" t="s">
        <v>112</v>
      </c>
      <c r="N33" s="365">
        <v>56.07</v>
      </c>
      <c r="O33" s="88">
        <v>56.26</v>
      </c>
      <c r="P33" s="88">
        <v>47.17</v>
      </c>
      <c r="Q33" s="89">
        <v>58.61</v>
      </c>
      <c r="R33" s="364"/>
    </row>
    <row r="34" spans="11:18" ht="15" customHeight="1">
      <c r="K34" s="169"/>
      <c r="L34" s="253"/>
      <c r="M34" s="337" t="s">
        <v>113</v>
      </c>
      <c r="N34" s="365">
        <v>50.96</v>
      </c>
      <c r="O34" s="88">
        <v>56.39</v>
      </c>
      <c r="P34" s="88">
        <v>47.49</v>
      </c>
      <c r="Q34" s="89">
        <v>58.24</v>
      </c>
      <c r="R34" s="364"/>
    </row>
    <row r="35" spans="11:18" ht="15" customHeight="1">
      <c r="K35" s="169"/>
      <c r="L35" s="253"/>
      <c r="M35" s="337" t="s">
        <v>114</v>
      </c>
      <c r="N35" s="365">
        <v>52.91</v>
      </c>
      <c r="O35" s="88">
        <v>55.74</v>
      </c>
      <c r="P35" s="88">
        <v>47.58</v>
      </c>
      <c r="Q35" s="89">
        <v>57.8</v>
      </c>
      <c r="R35" s="364"/>
    </row>
    <row r="36" spans="11:18" ht="15" customHeight="1">
      <c r="K36" s="169"/>
      <c r="L36" s="253"/>
      <c r="M36" s="337" t="s">
        <v>115</v>
      </c>
      <c r="N36" s="365">
        <v>52.64</v>
      </c>
      <c r="O36" s="88">
        <v>57.21</v>
      </c>
      <c r="P36" s="88">
        <v>48.17</v>
      </c>
      <c r="Q36" s="89">
        <v>60.29</v>
      </c>
      <c r="R36" s="364"/>
    </row>
    <row r="37" spans="11:18" ht="15" customHeight="1">
      <c r="K37" s="169"/>
      <c r="L37" s="253"/>
      <c r="M37" s="337" t="s">
        <v>116</v>
      </c>
      <c r="N37" s="365">
        <v>52.67</v>
      </c>
      <c r="O37" s="88">
        <v>60.28</v>
      </c>
      <c r="P37" s="88">
        <v>48.01</v>
      </c>
      <c r="Q37" s="89">
        <v>60.23</v>
      </c>
      <c r="R37" s="364"/>
    </row>
    <row r="38" spans="11:18" ht="15" customHeight="1">
      <c r="K38" s="169"/>
      <c r="L38" s="253"/>
      <c r="M38" s="337" t="s">
        <v>117</v>
      </c>
      <c r="N38" s="365">
        <v>51.54</v>
      </c>
      <c r="O38" s="88">
        <v>59.8</v>
      </c>
      <c r="P38" s="88">
        <v>47.57</v>
      </c>
      <c r="Q38" s="89">
        <v>59.58</v>
      </c>
      <c r="R38" s="364"/>
    </row>
    <row r="39" spans="11:18" ht="15" customHeight="1">
      <c r="K39" s="169"/>
      <c r="L39" s="253"/>
      <c r="M39" s="337" t="s">
        <v>118</v>
      </c>
      <c r="N39" s="365">
        <v>55.45</v>
      </c>
      <c r="O39" s="88">
        <v>61.33</v>
      </c>
      <c r="P39" s="88">
        <v>48.18</v>
      </c>
      <c r="Q39" s="89">
        <v>61.18</v>
      </c>
      <c r="R39" s="364"/>
    </row>
    <row r="40" spans="11:18" ht="15" customHeight="1">
      <c r="K40" s="169"/>
      <c r="L40" s="253"/>
      <c r="M40" s="337" t="s">
        <v>119</v>
      </c>
      <c r="N40" s="365">
        <v>57.91</v>
      </c>
      <c r="O40" s="88">
        <v>62.82</v>
      </c>
      <c r="P40" s="88">
        <v>47.18</v>
      </c>
      <c r="Q40" s="89">
        <v>59.31</v>
      </c>
      <c r="R40" s="364"/>
    </row>
    <row r="41" spans="11:18" ht="15" customHeight="1">
      <c r="K41" s="169"/>
      <c r="L41" s="253"/>
      <c r="M41" s="337" t="s">
        <v>120</v>
      </c>
      <c r="N41" s="365">
        <v>58.34</v>
      </c>
      <c r="O41" s="88">
        <v>63.76</v>
      </c>
      <c r="P41" s="88">
        <v>47.67</v>
      </c>
      <c r="Q41" s="89">
        <v>59.14</v>
      </c>
      <c r="R41" s="364"/>
    </row>
    <row r="42" spans="11:18" ht="15" customHeight="1" thickBot="1">
      <c r="K42" s="169"/>
      <c r="L42" s="253"/>
      <c r="M42" s="338" t="s">
        <v>121</v>
      </c>
      <c r="N42" s="366">
        <v>57.03</v>
      </c>
      <c r="O42" s="113">
        <v>61.43</v>
      </c>
      <c r="P42" s="113">
        <v>46.84</v>
      </c>
      <c r="Q42" s="114">
        <v>57.63</v>
      </c>
      <c r="R42" s="364"/>
    </row>
    <row r="43" spans="11:18" ht="15" customHeight="1">
      <c r="K43" s="169"/>
      <c r="L43" s="253"/>
      <c r="M43" s="339" t="s">
        <v>122</v>
      </c>
      <c r="N43" s="368">
        <v>51.85</v>
      </c>
      <c r="O43" s="197">
        <v>65.03</v>
      </c>
      <c r="P43" s="197">
        <v>47.98</v>
      </c>
      <c r="Q43" s="198">
        <v>60.36</v>
      </c>
      <c r="R43" s="364"/>
    </row>
    <row r="44" spans="11:18" ht="15" customHeight="1">
      <c r="K44" s="169"/>
      <c r="L44" s="253"/>
      <c r="M44" s="337" t="s">
        <v>123</v>
      </c>
      <c r="N44" s="369">
        <v>53.63</v>
      </c>
      <c r="O44" s="88">
        <v>67.06</v>
      </c>
      <c r="P44" s="88">
        <v>48.81</v>
      </c>
      <c r="Q44" s="112">
        <v>61.9</v>
      </c>
      <c r="R44" s="364"/>
    </row>
    <row r="45" spans="11:18" ht="15" customHeight="1">
      <c r="K45" s="169"/>
      <c r="L45" s="253"/>
      <c r="M45" s="337" t="s">
        <v>124</v>
      </c>
      <c r="N45" s="369">
        <v>57</v>
      </c>
      <c r="O45" s="88">
        <v>63.7</v>
      </c>
      <c r="P45" s="88">
        <v>46.96</v>
      </c>
      <c r="Q45" s="112">
        <v>59.38</v>
      </c>
      <c r="R45" s="364"/>
    </row>
    <row r="46" spans="11:18" ht="15" customHeight="1">
      <c r="K46" s="169"/>
      <c r="L46" s="253"/>
      <c r="M46" s="337" t="s">
        <v>125</v>
      </c>
      <c r="N46" s="369">
        <v>57.55</v>
      </c>
      <c r="O46" s="88">
        <v>62.68</v>
      </c>
      <c r="P46" s="88">
        <v>47.49</v>
      </c>
      <c r="Q46" s="112">
        <v>59.21</v>
      </c>
      <c r="R46" s="364"/>
    </row>
    <row r="47" spans="11:18" ht="15" customHeight="1">
      <c r="K47" s="169"/>
      <c r="L47" s="253"/>
      <c r="M47" s="337" t="s">
        <v>126</v>
      </c>
      <c r="N47" s="369">
        <v>60.28</v>
      </c>
      <c r="O47" s="88">
        <v>61.51</v>
      </c>
      <c r="P47" s="88">
        <v>47.42</v>
      </c>
      <c r="Q47" s="112">
        <v>58.4</v>
      </c>
      <c r="R47" s="364"/>
    </row>
    <row r="48" spans="11:18" ht="15" customHeight="1">
      <c r="K48" s="169"/>
      <c r="L48" s="253"/>
      <c r="M48" s="337" t="s">
        <v>127</v>
      </c>
      <c r="N48" s="369">
        <v>56.07</v>
      </c>
      <c r="O48" s="88">
        <v>62.26</v>
      </c>
      <c r="P48" s="88">
        <v>47.8</v>
      </c>
      <c r="Q48" s="112">
        <v>59.03</v>
      </c>
      <c r="R48" s="364"/>
    </row>
    <row r="49" spans="11:18" ht="15" customHeight="1">
      <c r="K49" s="169"/>
      <c r="L49" s="253"/>
      <c r="M49" s="337" t="s">
        <v>128</v>
      </c>
      <c r="N49" s="369">
        <v>48.13</v>
      </c>
      <c r="O49" s="88">
        <v>60.64</v>
      </c>
      <c r="P49" s="88">
        <v>48.03</v>
      </c>
      <c r="Q49" s="112">
        <v>58.66</v>
      </c>
      <c r="R49" s="364"/>
    </row>
    <row r="50" spans="11:18" ht="15" customHeight="1">
      <c r="K50" s="169"/>
      <c r="L50" s="253"/>
      <c r="M50" s="337" t="s">
        <v>129</v>
      </c>
      <c r="N50" s="369">
        <v>47.47</v>
      </c>
      <c r="O50" s="88">
        <v>58.87</v>
      </c>
      <c r="P50" s="88">
        <v>47.48</v>
      </c>
      <c r="Q50" s="112">
        <v>58.09</v>
      </c>
      <c r="R50" s="364"/>
    </row>
    <row r="51" spans="11:18" ht="15" customHeight="1">
      <c r="K51" s="169"/>
      <c r="L51" s="253"/>
      <c r="M51" s="337" t="s">
        <v>130</v>
      </c>
      <c r="N51" s="369">
        <v>49.55</v>
      </c>
      <c r="O51" s="88">
        <v>60.66</v>
      </c>
      <c r="P51" s="88">
        <v>48.21</v>
      </c>
      <c r="Q51" s="112">
        <v>59.95</v>
      </c>
      <c r="R51" s="364"/>
    </row>
    <row r="52" spans="11:18" ht="15" customHeight="1">
      <c r="K52" s="169"/>
      <c r="L52" s="253"/>
      <c r="M52" s="337" t="s">
        <v>131</v>
      </c>
      <c r="N52" s="369">
        <v>50.48</v>
      </c>
      <c r="O52" s="88">
        <v>58.94</v>
      </c>
      <c r="P52" s="88">
        <v>47.47</v>
      </c>
      <c r="Q52" s="112">
        <v>58.34</v>
      </c>
      <c r="R52" s="364"/>
    </row>
    <row r="53" spans="11:18" ht="15" customHeight="1">
      <c r="K53" s="169"/>
      <c r="L53" s="253"/>
      <c r="M53" s="337" t="s">
        <v>132</v>
      </c>
      <c r="N53" s="369">
        <v>46.54</v>
      </c>
      <c r="O53" s="88">
        <v>58.3</v>
      </c>
      <c r="P53" s="88">
        <v>48.52</v>
      </c>
      <c r="Q53" s="112">
        <v>57.57</v>
      </c>
      <c r="R53" s="364"/>
    </row>
    <row r="54" spans="11:18" ht="15" customHeight="1" thickBot="1">
      <c r="K54" s="169"/>
      <c r="L54" s="253"/>
      <c r="M54" s="338" t="s">
        <v>133</v>
      </c>
      <c r="N54" s="370">
        <v>41.89</v>
      </c>
      <c r="O54" s="113">
        <v>58.14</v>
      </c>
      <c r="P54" s="113">
        <v>48.52</v>
      </c>
      <c r="Q54" s="164">
        <v>56.78</v>
      </c>
      <c r="R54" s="364"/>
    </row>
    <row r="55" spans="11:18" ht="15" customHeight="1">
      <c r="K55" s="169"/>
      <c r="L55" s="253"/>
      <c r="M55" s="339" t="s">
        <v>134</v>
      </c>
      <c r="N55" s="368">
        <v>39.840000000000003</v>
      </c>
      <c r="O55" s="197">
        <v>59.59</v>
      </c>
      <c r="P55" s="197">
        <v>48.39</v>
      </c>
      <c r="Q55" s="198">
        <v>56.55</v>
      </c>
      <c r="R55" s="364"/>
    </row>
    <row r="56" spans="11:18" ht="15" customHeight="1">
      <c r="K56" s="169"/>
      <c r="L56" s="253"/>
      <c r="M56" s="338" t="s">
        <v>135</v>
      </c>
      <c r="N56" s="370">
        <v>39.840000000000003</v>
      </c>
      <c r="O56" s="113">
        <v>61.44</v>
      </c>
      <c r="P56" s="113">
        <v>49.41</v>
      </c>
      <c r="Q56" s="164">
        <v>59.07</v>
      </c>
      <c r="R56" s="364"/>
    </row>
    <row r="57" spans="11:18" ht="15" customHeight="1">
      <c r="K57" s="169"/>
      <c r="L57" s="253"/>
      <c r="M57" s="337" t="s">
        <v>136</v>
      </c>
      <c r="N57" s="369">
        <v>40.61</v>
      </c>
      <c r="O57" s="88">
        <v>59.75</v>
      </c>
      <c r="P57" s="88">
        <v>47.65</v>
      </c>
      <c r="Q57" s="112">
        <v>57.89</v>
      </c>
      <c r="R57" s="364"/>
    </row>
    <row r="58" spans="11:18" ht="15" customHeight="1">
      <c r="K58" s="169"/>
      <c r="L58" s="253"/>
      <c r="M58" s="337" t="s">
        <v>137</v>
      </c>
      <c r="N58" s="369">
        <v>49.75</v>
      </c>
      <c r="O58" s="88">
        <v>61.79</v>
      </c>
      <c r="P58" s="88">
        <v>47.73</v>
      </c>
      <c r="Q58" s="112">
        <v>59.89</v>
      </c>
      <c r="R58" s="364"/>
    </row>
    <row r="59" spans="11:18" ht="15" customHeight="1">
      <c r="K59" s="169"/>
      <c r="L59" s="253"/>
      <c r="M59" s="337" t="s">
        <v>138</v>
      </c>
      <c r="N59" s="369">
        <v>47.48</v>
      </c>
      <c r="O59" s="88">
        <v>61.76</v>
      </c>
      <c r="P59" s="88">
        <v>47.78</v>
      </c>
      <c r="Q59" s="112">
        <v>60.26</v>
      </c>
      <c r="R59" s="364"/>
    </row>
    <row r="60" spans="11:18" ht="15" customHeight="1">
      <c r="K60" s="169"/>
      <c r="L60" s="253"/>
      <c r="M60" s="337" t="s">
        <v>139</v>
      </c>
      <c r="N60" s="369">
        <v>44.38</v>
      </c>
      <c r="O60" s="88">
        <v>63.1</v>
      </c>
      <c r="P60" s="88">
        <v>49</v>
      </c>
      <c r="Q60" s="112">
        <v>61.18</v>
      </c>
      <c r="R60" s="364"/>
    </row>
    <row r="61" spans="11:18" ht="15" customHeight="1">
      <c r="K61" s="169"/>
      <c r="L61" s="253"/>
      <c r="M61" s="337" t="s">
        <v>140</v>
      </c>
      <c r="N61" s="369">
        <v>45.98</v>
      </c>
      <c r="O61" s="88">
        <v>62.48</v>
      </c>
      <c r="P61" s="88">
        <v>48.68</v>
      </c>
      <c r="Q61" s="112">
        <v>60.97</v>
      </c>
      <c r="R61" s="364"/>
    </row>
    <row r="62" spans="11:18" ht="15" customHeight="1">
      <c r="K62" s="169"/>
      <c r="L62" s="253"/>
      <c r="M62" s="337" t="s">
        <v>141</v>
      </c>
      <c r="N62" s="369">
        <v>49.44</v>
      </c>
      <c r="O62" s="88">
        <v>62.83</v>
      </c>
      <c r="P62" s="88">
        <v>48.41</v>
      </c>
      <c r="Q62" s="112">
        <v>61.02</v>
      </c>
      <c r="R62" s="364"/>
    </row>
    <row r="63" spans="11:18" ht="15" customHeight="1">
      <c r="L63" s="253"/>
      <c r="M63" s="336" t="s">
        <v>142</v>
      </c>
      <c r="N63" s="371">
        <v>45.28</v>
      </c>
      <c r="O63" s="165">
        <v>64.41</v>
      </c>
      <c r="P63" s="165">
        <v>49.14</v>
      </c>
      <c r="Q63" s="166">
        <v>62.31</v>
      </c>
      <c r="R63" s="364"/>
    </row>
    <row r="64" spans="11:18" ht="15" customHeight="1">
      <c r="L64" s="253"/>
      <c r="M64" s="337" t="s">
        <v>143</v>
      </c>
      <c r="N64" s="369">
        <v>48.89</v>
      </c>
      <c r="O64" s="88">
        <v>65.06</v>
      </c>
      <c r="P64" s="88">
        <v>48.76</v>
      </c>
      <c r="Q64" s="112">
        <v>63.16</v>
      </c>
      <c r="R64" s="364"/>
    </row>
    <row r="65" spans="12:18" ht="15" customHeight="1">
      <c r="L65" s="253"/>
      <c r="M65" s="336" t="s">
        <v>144</v>
      </c>
      <c r="N65" s="371">
        <v>49.172286426365559</v>
      </c>
      <c r="O65" s="165">
        <v>64.489999999999995</v>
      </c>
      <c r="P65" s="165">
        <v>48.93</v>
      </c>
      <c r="Q65" s="166">
        <v>62.46</v>
      </c>
      <c r="R65" s="364"/>
    </row>
    <row r="66" spans="12:18" ht="15" customHeight="1" thickBot="1">
      <c r="L66" s="253"/>
      <c r="M66" s="338" t="s">
        <v>145</v>
      </c>
      <c r="N66" s="370">
        <v>45.99</v>
      </c>
      <c r="O66" s="113">
        <v>62.95</v>
      </c>
      <c r="P66" s="113">
        <v>47.84</v>
      </c>
      <c r="Q66" s="164">
        <v>61.18</v>
      </c>
      <c r="R66" s="364"/>
    </row>
    <row r="67" spans="12:18" ht="15" customHeight="1">
      <c r="L67" s="253"/>
      <c r="M67" s="339" t="s">
        <v>149</v>
      </c>
      <c r="N67" s="368">
        <v>50.52</v>
      </c>
      <c r="O67" s="197">
        <v>69.010000000000005</v>
      </c>
      <c r="P67" s="197">
        <v>48.77</v>
      </c>
      <c r="Q67" s="198">
        <v>68.849999999999994</v>
      </c>
      <c r="R67" s="364"/>
    </row>
    <row r="68" spans="12:18" ht="15" customHeight="1">
      <c r="L68" s="253"/>
      <c r="M68" s="337" t="s">
        <v>150</v>
      </c>
      <c r="N68" s="369">
        <v>60.8</v>
      </c>
      <c r="O68" s="88">
        <v>70.069999999999993</v>
      </c>
      <c r="P68" s="88">
        <v>54.7</v>
      </c>
      <c r="Q68" s="112">
        <v>70.69</v>
      </c>
      <c r="R68" s="364"/>
    </row>
    <row r="69" spans="12:18" ht="15" customHeight="1">
      <c r="L69" s="253"/>
      <c r="M69" s="337" t="s">
        <v>151</v>
      </c>
      <c r="N69" s="369">
        <v>60.88</v>
      </c>
      <c r="O69" s="88">
        <v>68.319999999999993</v>
      </c>
      <c r="P69" s="88">
        <v>53.01</v>
      </c>
      <c r="Q69" s="112">
        <v>67.38</v>
      </c>
      <c r="R69" s="364"/>
    </row>
    <row r="70" spans="12:18" ht="15" customHeight="1">
      <c r="L70" s="253"/>
      <c r="M70" s="337" t="s">
        <v>152</v>
      </c>
      <c r="N70" s="369">
        <v>65.05</v>
      </c>
      <c r="O70" s="88">
        <v>62.94</v>
      </c>
      <c r="P70" s="88">
        <v>51.45</v>
      </c>
      <c r="Q70" s="112">
        <v>62.9</v>
      </c>
      <c r="R70" s="364"/>
    </row>
    <row r="71" spans="12:18" ht="15" customHeight="1">
      <c r="L71" s="253"/>
      <c r="M71" s="337" t="s">
        <v>153</v>
      </c>
      <c r="N71" s="369">
        <v>52.05</v>
      </c>
      <c r="O71" s="88">
        <v>61.62</v>
      </c>
      <c r="P71" s="88">
        <v>51.76</v>
      </c>
      <c r="Q71" s="112">
        <v>61.09</v>
      </c>
      <c r="R71" s="364"/>
    </row>
    <row r="72" spans="12:18" ht="15" customHeight="1">
      <c r="L72" s="253"/>
      <c r="M72" s="337" t="s">
        <v>154</v>
      </c>
      <c r="N72" s="369">
        <v>49.89</v>
      </c>
      <c r="O72" s="88">
        <v>63.6</v>
      </c>
      <c r="P72" s="88">
        <v>53.53</v>
      </c>
      <c r="Q72" s="112">
        <v>63.69</v>
      </c>
      <c r="R72" s="364"/>
    </row>
    <row r="73" spans="12:18" ht="15" customHeight="1">
      <c r="L73" s="253"/>
      <c r="M73" s="337" t="s">
        <v>155</v>
      </c>
      <c r="N73" s="369">
        <v>52.9</v>
      </c>
      <c r="O73" s="88">
        <v>64.14</v>
      </c>
      <c r="P73" s="88">
        <v>53.47</v>
      </c>
      <c r="Q73" s="112">
        <v>64.290000000000006</v>
      </c>
      <c r="R73" s="364"/>
    </row>
    <row r="74" spans="12:18" ht="15" customHeight="1">
      <c r="L74" s="253"/>
      <c r="M74" s="337" t="s">
        <v>156</v>
      </c>
      <c r="N74" s="369">
        <v>58.3</v>
      </c>
      <c r="O74" s="88">
        <v>65.290000000000006</v>
      </c>
      <c r="P74" s="88">
        <v>53.65</v>
      </c>
      <c r="Q74" s="112">
        <v>65.44</v>
      </c>
      <c r="R74" s="364"/>
    </row>
    <row r="75" spans="12:18" ht="15" customHeight="1">
      <c r="L75" s="253"/>
      <c r="M75" s="337" t="s">
        <v>157</v>
      </c>
      <c r="N75" s="369">
        <v>56.77</v>
      </c>
      <c r="O75" s="88">
        <v>63.91</v>
      </c>
      <c r="P75" s="88">
        <v>52.38</v>
      </c>
      <c r="Q75" s="112">
        <v>64.78</v>
      </c>
      <c r="R75" s="364"/>
    </row>
    <row r="76" spans="12:18" ht="15" customHeight="1">
      <c r="L76" s="253"/>
      <c r="M76" s="338" t="s">
        <v>158</v>
      </c>
      <c r="N76" s="370">
        <v>55.5</v>
      </c>
      <c r="O76" s="113">
        <v>63.7</v>
      </c>
      <c r="P76" s="113">
        <v>52.74</v>
      </c>
      <c r="Q76" s="164">
        <v>63.95</v>
      </c>
      <c r="R76" s="364"/>
    </row>
    <row r="77" spans="12:18" ht="15" customHeight="1">
      <c r="L77" s="253"/>
      <c r="M77" s="337" t="s">
        <v>159</v>
      </c>
      <c r="N77" s="369">
        <v>53.64</v>
      </c>
      <c r="O77" s="88">
        <v>65.069999999999993</v>
      </c>
      <c r="P77" s="88">
        <v>52.85</v>
      </c>
      <c r="Q77" s="112">
        <v>65.69</v>
      </c>
      <c r="R77" s="364"/>
    </row>
    <row r="78" spans="12:18" ht="15" customHeight="1" thickBot="1">
      <c r="L78" s="253"/>
      <c r="M78" s="340" t="s">
        <v>148</v>
      </c>
      <c r="N78" s="372">
        <v>50.81</v>
      </c>
      <c r="O78" s="195">
        <v>63.88</v>
      </c>
      <c r="P78" s="195">
        <v>52.45</v>
      </c>
      <c r="Q78" s="196">
        <v>63.58</v>
      </c>
      <c r="R78" s="364"/>
    </row>
    <row r="79" spans="12:18" ht="15" customHeight="1">
      <c r="L79" s="253"/>
      <c r="M79" s="341" t="s">
        <v>163</v>
      </c>
      <c r="N79" s="373">
        <v>52</v>
      </c>
      <c r="O79" s="202">
        <v>66.430000000000007</v>
      </c>
      <c r="P79" s="202">
        <v>58.48</v>
      </c>
      <c r="Q79" s="204">
        <v>57.95</v>
      </c>
      <c r="R79" s="364"/>
    </row>
    <row r="80" spans="12:18" ht="15" customHeight="1">
      <c r="L80" s="253"/>
      <c r="M80" s="342" t="s">
        <v>150</v>
      </c>
      <c r="N80" s="374">
        <v>56.81</v>
      </c>
      <c r="O80" s="203">
        <v>67.62</v>
      </c>
      <c r="P80" s="203">
        <v>60.01</v>
      </c>
      <c r="Q80" s="205">
        <v>59.29</v>
      </c>
      <c r="R80" s="364"/>
    </row>
    <row r="81" spans="12:18" ht="15" customHeight="1">
      <c r="L81" s="253"/>
      <c r="M81" s="342" t="s">
        <v>164</v>
      </c>
      <c r="N81" s="374">
        <v>58.61</v>
      </c>
      <c r="O81" s="203">
        <v>65.25</v>
      </c>
      <c r="P81" s="203">
        <v>59.37</v>
      </c>
      <c r="Q81" s="205">
        <v>55.61</v>
      </c>
      <c r="R81" s="364"/>
    </row>
    <row r="82" spans="12:18" ht="15" customHeight="1">
      <c r="L82" s="253"/>
      <c r="M82" s="342" t="s">
        <v>166</v>
      </c>
      <c r="N82" s="374">
        <v>58.6</v>
      </c>
      <c r="O82" s="203">
        <v>66.319999999999993</v>
      </c>
      <c r="P82" s="203">
        <v>60.17</v>
      </c>
      <c r="Q82" s="205">
        <v>56.91</v>
      </c>
      <c r="R82" s="364"/>
    </row>
    <row r="83" spans="12:18" ht="15" customHeight="1">
      <c r="L83" s="253"/>
      <c r="M83" s="342" t="s">
        <v>167</v>
      </c>
      <c r="N83" s="374">
        <v>52.76</v>
      </c>
      <c r="O83" s="203">
        <v>67.34</v>
      </c>
      <c r="P83" s="203">
        <v>63.38</v>
      </c>
      <c r="Q83" s="205">
        <v>56.41</v>
      </c>
      <c r="R83" s="364"/>
    </row>
    <row r="84" spans="12:18" ht="15" customHeight="1">
      <c r="L84" s="253"/>
      <c r="M84" s="342" t="s">
        <v>168</v>
      </c>
      <c r="N84" s="374">
        <v>55.17</v>
      </c>
      <c r="O84" s="88">
        <v>68.47</v>
      </c>
      <c r="P84" s="88">
        <v>62.09</v>
      </c>
      <c r="Q84" s="89">
        <v>57.71</v>
      </c>
      <c r="R84" s="364"/>
    </row>
    <row r="85" spans="12:18" ht="15" customHeight="1">
      <c r="L85" s="253"/>
      <c r="M85" s="342" t="s">
        <v>169</v>
      </c>
      <c r="N85" s="374">
        <v>58.64</v>
      </c>
      <c r="O85" s="88">
        <v>68.31</v>
      </c>
      <c r="P85" s="88">
        <v>64.37</v>
      </c>
      <c r="Q85" s="89">
        <v>57.29</v>
      </c>
      <c r="R85" s="364"/>
    </row>
    <row r="86" spans="12:18" ht="15" customHeight="1">
      <c r="L86" s="253"/>
      <c r="M86" s="342" t="s">
        <v>170</v>
      </c>
      <c r="N86" s="374">
        <v>58.48</v>
      </c>
      <c r="O86" s="88">
        <v>69.12</v>
      </c>
      <c r="P86" s="88">
        <v>67.599999999999994</v>
      </c>
      <c r="Q86" s="89">
        <v>57</v>
      </c>
      <c r="R86" s="364"/>
    </row>
    <row r="87" spans="12:18" ht="15" customHeight="1">
      <c r="L87" s="253"/>
      <c r="M87" s="342" t="s">
        <v>171</v>
      </c>
      <c r="N87" s="374">
        <v>61.57</v>
      </c>
      <c r="O87" s="88">
        <v>70.709999999999994</v>
      </c>
      <c r="P87" s="88">
        <v>68.86</v>
      </c>
      <c r="Q87" s="89">
        <v>57.71</v>
      </c>
      <c r="R87" s="364"/>
    </row>
    <row r="88" spans="12:18" ht="15" customHeight="1">
      <c r="L88" s="253"/>
      <c r="M88" s="342" t="s">
        <v>172</v>
      </c>
      <c r="N88" s="374">
        <v>63.11</v>
      </c>
      <c r="O88" s="88">
        <v>73.41</v>
      </c>
      <c r="P88" s="88">
        <v>74.33</v>
      </c>
      <c r="Q88" s="89">
        <v>57.11</v>
      </c>
      <c r="R88" s="364"/>
    </row>
    <row r="89" spans="12:18" ht="15" customHeight="1">
      <c r="L89" s="253"/>
      <c r="M89" s="342" t="s">
        <v>165</v>
      </c>
      <c r="N89" s="374">
        <v>53.94</v>
      </c>
      <c r="O89" s="88">
        <v>74.66</v>
      </c>
      <c r="P89" s="88">
        <v>71.36</v>
      </c>
      <c r="Q89" s="89">
        <v>58.87</v>
      </c>
      <c r="R89" s="364"/>
    </row>
    <row r="90" spans="12:18" ht="15" customHeight="1" thickBot="1">
      <c r="L90" s="253"/>
      <c r="M90" s="343" t="s">
        <v>162</v>
      </c>
      <c r="N90" s="375">
        <v>48.74</v>
      </c>
      <c r="O90" s="200">
        <v>69.8</v>
      </c>
      <c r="P90" s="200">
        <v>65.28</v>
      </c>
      <c r="Q90" s="201">
        <v>55.23</v>
      </c>
      <c r="R90" s="364"/>
    </row>
    <row r="91" spans="12:18" ht="15" customHeight="1">
      <c r="L91" s="253"/>
      <c r="M91" s="341" t="s">
        <v>176</v>
      </c>
      <c r="N91" s="373">
        <v>47.9</v>
      </c>
      <c r="O91" s="202">
        <v>70.760000000000005</v>
      </c>
      <c r="P91" s="202">
        <v>85.19</v>
      </c>
      <c r="Q91" s="204">
        <v>70.98</v>
      </c>
      <c r="R91" s="364"/>
    </row>
    <row r="92" spans="12:18" ht="15" customHeight="1">
      <c r="L92" s="253"/>
      <c r="M92" s="342" t="s">
        <v>177</v>
      </c>
      <c r="N92" s="374">
        <v>57.71</v>
      </c>
      <c r="O92" s="203">
        <v>65.290000000000006</v>
      </c>
      <c r="P92" s="203">
        <v>88.47</v>
      </c>
      <c r="Q92" s="221">
        <v>75.7</v>
      </c>
      <c r="R92" s="364"/>
    </row>
    <row r="93" spans="12:18" ht="15" customHeight="1">
      <c r="L93" s="253"/>
      <c r="M93" s="344" t="s">
        <v>178</v>
      </c>
      <c r="N93" s="374">
        <v>71.61</v>
      </c>
      <c r="O93" s="203">
        <v>63.44</v>
      </c>
      <c r="P93" s="203">
        <v>90.79</v>
      </c>
      <c r="Q93" s="205">
        <v>68.91</v>
      </c>
      <c r="R93" s="364"/>
    </row>
    <row r="94" spans="12:18" ht="15" customHeight="1">
      <c r="L94" s="253"/>
      <c r="M94" s="342" t="s">
        <v>179</v>
      </c>
      <c r="N94" s="374">
        <v>83.65</v>
      </c>
      <c r="O94" s="203">
        <v>63.15</v>
      </c>
      <c r="P94" s="203">
        <v>90.27</v>
      </c>
      <c r="Q94" s="205">
        <v>68.849999999999994</v>
      </c>
      <c r="R94" s="364"/>
    </row>
    <row r="95" spans="12:18" ht="15" customHeight="1">
      <c r="L95" s="253"/>
      <c r="M95" s="342" t="s">
        <v>180</v>
      </c>
      <c r="N95" s="374">
        <v>87.652000000000001</v>
      </c>
      <c r="O95" s="203">
        <v>62.77</v>
      </c>
      <c r="P95" s="203">
        <v>88.23</v>
      </c>
      <c r="Q95" s="205">
        <v>68.89</v>
      </c>
      <c r="R95" s="364"/>
    </row>
    <row r="96" spans="12:18" ht="15" customHeight="1">
      <c r="L96" s="253"/>
      <c r="M96" s="342" t="s">
        <v>181</v>
      </c>
      <c r="N96" s="374">
        <v>90.93</v>
      </c>
      <c r="O96" s="88">
        <v>64.760000000000005</v>
      </c>
      <c r="P96" s="88">
        <v>95.86</v>
      </c>
      <c r="Q96" s="89">
        <v>69.97</v>
      </c>
      <c r="R96" s="364"/>
    </row>
    <row r="97" spans="12:18" ht="15" customHeight="1">
      <c r="L97" s="253"/>
      <c r="M97" s="342" t="s">
        <v>182</v>
      </c>
      <c r="N97" s="374">
        <v>103.45</v>
      </c>
      <c r="O97" s="88">
        <v>66.58</v>
      </c>
      <c r="P97" s="88">
        <v>76.430000000000007</v>
      </c>
      <c r="Q97" s="89">
        <v>68.569999999999993</v>
      </c>
      <c r="R97" s="364"/>
    </row>
    <row r="98" spans="12:18" ht="15" customHeight="1">
      <c r="L98" s="253"/>
      <c r="M98" s="342" t="s">
        <v>183</v>
      </c>
      <c r="N98" s="374">
        <v>102.36</v>
      </c>
      <c r="O98" s="88">
        <v>67.959999999999994</v>
      </c>
      <c r="P98" s="88">
        <v>78.930000000000007</v>
      </c>
      <c r="Q98" s="89">
        <v>68.739999999999995</v>
      </c>
      <c r="R98" s="364"/>
    </row>
    <row r="99" spans="12:18" ht="15" customHeight="1">
      <c r="L99" s="253"/>
      <c r="M99" s="342" t="s">
        <v>184</v>
      </c>
      <c r="N99" s="374">
        <v>106.2</v>
      </c>
      <c r="O99" s="88">
        <v>68.61</v>
      </c>
      <c r="P99" s="88">
        <v>84.28</v>
      </c>
      <c r="Q99" s="89">
        <v>70.08</v>
      </c>
      <c r="R99" s="364"/>
    </row>
    <row r="100" spans="12:18" ht="15" customHeight="1">
      <c r="L100" s="253"/>
      <c r="M100" s="342" t="s">
        <v>185</v>
      </c>
      <c r="N100" s="374">
        <v>102.49</v>
      </c>
      <c r="O100" s="88">
        <v>67.569999999999993</v>
      </c>
      <c r="P100" s="88">
        <v>83.51</v>
      </c>
      <c r="Q100" s="89">
        <v>69.209999999999994</v>
      </c>
      <c r="R100" s="364"/>
    </row>
    <row r="101" spans="12:18" ht="15" customHeight="1">
      <c r="L101" s="253"/>
      <c r="M101" s="342" t="s">
        <v>186</v>
      </c>
      <c r="N101" s="374">
        <v>107.81</v>
      </c>
      <c r="O101" s="88">
        <v>68.06</v>
      </c>
      <c r="P101" s="88">
        <v>82.02</v>
      </c>
      <c r="Q101" s="89">
        <v>71.75</v>
      </c>
      <c r="R101" s="364"/>
    </row>
    <row r="102" spans="12:18" ht="15" customHeight="1" thickBot="1">
      <c r="L102" s="253"/>
      <c r="M102" s="343" t="s">
        <v>187</v>
      </c>
      <c r="N102" s="375">
        <v>118.18</v>
      </c>
      <c r="O102" s="200">
        <v>67.11</v>
      </c>
      <c r="P102" s="200">
        <v>86.37</v>
      </c>
      <c r="Q102" s="201">
        <v>68.52</v>
      </c>
      <c r="R102" s="364"/>
    </row>
    <row r="103" spans="12:18" ht="15" customHeight="1">
      <c r="L103" s="253"/>
      <c r="M103" s="341" t="s">
        <v>190</v>
      </c>
      <c r="N103" s="362">
        <v>138.66999999999999</v>
      </c>
      <c r="O103" s="345">
        <v>74.941537518113208</v>
      </c>
      <c r="P103" s="346">
        <v>67.750058583320083</v>
      </c>
      <c r="Q103" s="347">
        <v>96.010178387634966</v>
      </c>
      <c r="R103" s="364"/>
    </row>
    <row r="104" spans="12:18" ht="15" customHeight="1">
      <c r="L104" s="253"/>
      <c r="M104" s="342" t="s">
        <v>191</v>
      </c>
      <c r="N104" s="376">
        <v>113.01</v>
      </c>
      <c r="O104" s="348">
        <v>70.95498070126196</v>
      </c>
      <c r="P104" s="349">
        <v>67.906095811157201</v>
      </c>
      <c r="Q104" s="350">
        <v>98.906133265671471</v>
      </c>
      <c r="R104" s="364"/>
    </row>
    <row r="105" spans="12:18" ht="15" customHeight="1">
      <c r="L105" s="253"/>
      <c r="M105" s="344" t="s">
        <v>192</v>
      </c>
      <c r="N105" s="376">
        <v>112.29</v>
      </c>
      <c r="O105" s="348">
        <v>66.232702708647295</v>
      </c>
      <c r="P105" s="349">
        <v>63.259924721523639</v>
      </c>
      <c r="Q105" s="350">
        <v>94.931446155340154</v>
      </c>
      <c r="R105" s="364"/>
    </row>
    <row r="106" spans="12:18" ht="15" customHeight="1">
      <c r="L106" s="253"/>
      <c r="M106" s="342" t="s">
        <v>193</v>
      </c>
      <c r="N106" s="376">
        <v>114.72</v>
      </c>
      <c r="O106" s="348">
        <v>71.540140021048572</v>
      </c>
      <c r="P106" s="349">
        <v>59.793595772653092</v>
      </c>
      <c r="Q106" s="350">
        <v>96.528831145991333</v>
      </c>
      <c r="R106" s="364"/>
    </row>
    <row r="107" spans="12:18" ht="15" customHeight="1">
      <c r="L107" s="253"/>
      <c r="M107" s="342" t="s">
        <v>194</v>
      </c>
      <c r="N107" s="376">
        <v>130.80000000000001</v>
      </c>
      <c r="O107" s="348">
        <v>69.733380114342211</v>
      </c>
      <c r="P107" s="349">
        <v>63.15400734229673</v>
      </c>
      <c r="Q107" s="350">
        <v>96.079380445304935</v>
      </c>
      <c r="R107" s="364"/>
    </row>
    <row r="108" spans="12:18" ht="15" customHeight="1">
      <c r="L108" s="253"/>
      <c r="M108" s="342" t="s">
        <v>195</v>
      </c>
      <c r="N108" s="376">
        <v>126.55</v>
      </c>
      <c r="O108" s="348">
        <v>69.346564547982098</v>
      </c>
      <c r="P108" s="349">
        <v>63.998503487024166</v>
      </c>
      <c r="Q108" s="350">
        <v>93.467145343777204</v>
      </c>
      <c r="R108" s="364"/>
    </row>
    <row r="109" spans="12:18" ht="15" customHeight="1">
      <c r="L109" s="253"/>
      <c r="M109" s="342" t="s">
        <v>196</v>
      </c>
      <c r="N109" s="376">
        <v>128.38</v>
      </c>
      <c r="O109" s="348">
        <v>68.848170146476946</v>
      </c>
      <c r="P109" s="349">
        <v>65.157159979994347</v>
      </c>
      <c r="Q109" s="350">
        <v>94.919550020255315</v>
      </c>
      <c r="R109" s="364"/>
    </row>
    <row r="110" spans="12:18" ht="15" customHeight="1">
      <c r="L110" s="253"/>
      <c r="M110" s="342" t="s">
        <v>197</v>
      </c>
      <c r="N110" s="376">
        <v>124.62</v>
      </c>
      <c r="O110" s="348">
        <v>68.628966916875427</v>
      </c>
      <c r="P110" s="349">
        <v>62.695354782935091</v>
      </c>
      <c r="Q110" s="350">
        <v>93.536776447855189</v>
      </c>
      <c r="R110" s="364"/>
    </row>
    <row r="111" spans="12:18" ht="15" customHeight="1">
      <c r="L111" s="253"/>
      <c r="M111" s="342" t="s">
        <v>198</v>
      </c>
      <c r="N111" s="376">
        <v>124.85</v>
      </c>
      <c r="O111" s="348">
        <v>68.204215216074672</v>
      </c>
      <c r="P111" s="349">
        <v>62.460457412650449</v>
      </c>
      <c r="Q111" s="350">
        <v>84.128541276494545</v>
      </c>
      <c r="R111" s="364"/>
    </row>
    <row r="112" spans="12:18" ht="15" customHeight="1">
      <c r="L112" s="253"/>
      <c r="M112" s="342" t="s">
        <v>199</v>
      </c>
      <c r="N112" s="376">
        <v>125.64</v>
      </c>
      <c r="O112" s="348">
        <v>67.238470619154356</v>
      </c>
      <c r="P112" s="349">
        <v>61.825930618495292</v>
      </c>
      <c r="Q112" s="350">
        <v>84.534320143476137</v>
      </c>
      <c r="R112" s="364"/>
    </row>
    <row r="113" spans="11:18" ht="15" customHeight="1">
      <c r="L113" s="253"/>
      <c r="M113" s="342" t="s">
        <v>200</v>
      </c>
      <c r="N113" s="376">
        <v>131.43</v>
      </c>
      <c r="O113" s="348">
        <v>69.58405020007794</v>
      </c>
      <c r="P113" s="349">
        <v>64.889690010523779</v>
      </c>
      <c r="Q113" s="350">
        <v>85.719621181806048</v>
      </c>
      <c r="R113" s="364"/>
    </row>
    <row r="114" spans="11:18" ht="15" customHeight="1" thickBot="1">
      <c r="L114" s="254"/>
      <c r="M114" s="343" t="s">
        <v>201</v>
      </c>
      <c r="N114" s="377">
        <v>136.23114614708368</v>
      </c>
      <c r="O114" s="351">
        <v>68.145216503065384</v>
      </c>
      <c r="P114" s="352">
        <v>63.778603407952531</v>
      </c>
      <c r="Q114" s="353">
        <v>84.12666526210576</v>
      </c>
      <c r="R114" s="364"/>
    </row>
    <row r="115" spans="11:18" ht="15" customHeight="1">
      <c r="L115" s="254"/>
      <c r="M115" s="341" t="s">
        <v>210</v>
      </c>
      <c r="N115" s="362">
        <v>124.73</v>
      </c>
      <c r="O115" s="345">
        <v>71.573970519999293</v>
      </c>
      <c r="P115" s="346">
        <v>62.403936095448934</v>
      </c>
      <c r="Q115" s="347">
        <v>88.138462985608129</v>
      </c>
      <c r="R115" s="364"/>
    </row>
    <row r="116" spans="11:18" ht="15" customHeight="1">
      <c r="L116" s="254"/>
      <c r="M116" s="342" t="s">
        <v>211</v>
      </c>
      <c r="N116" s="376">
        <v>129.05000000000001</v>
      </c>
      <c r="O116" s="348">
        <v>74.733691892156855</v>
      </c>
      <c r="P116" s="349">
        <v>64.58383104997236</v>
      </c>
      <c r="Q116" s="350">
        <v>94.339149776009521</v>
      </c>
      <c r="R116" s="364"/>
    </row>
    <row r="117" spans="11:18" ht="15" customHeight="1">
      <c r="L117" s="254"/>
      <c r="M117" s="344" t="s">
        <v>212</v>
      </c>
      <c r="N117" s="376">
        <v>157.69</v>
      </c>
      <c r="O117" s="348">
        <v>77.870331156169854</v>
      </c>
      <c r="P117" s="349">
        <v>61.912324198160135</v>
      </c>
      <c r="Q117" s="350">
        <v>91.383921109811126</v>
      </c>
      <c r="R117" s="364"/>
    </row>
    <row r="118" spans="11:18" ht="15" customHeight="1">
      <c r="L118" s="254"/>
      <c r="M118" s="342" t="s">
        <v>213</v>
      </c>
      <c r="N118" s="376">
        <v>202.64</v>
      </c>
      <c r="O118" s="348">
        <v>93.77029837733788</v>
      </c>
      <c r="P118" s="349">
        <v>64.282681112566479</v>
      </c>
      <c r="Q118" s="350">
        <v>102.52252911918073</v>
      </c>
      <c r="R118" s="364"/>
    </row>
    <row r="119" spans="11:18" ht="15" customHeight="1">
      <c r="L119" s="254"/>
      <c r="M119" s="342" t="s">
        <v>214</v>
      </c>
      <c r="N119" s="376">
        <v>265.14999999999998</v>
      </c>
      <c r="O119" s="348">
        <v>89.495702292459754</v>
      </c>
      <c r="P119" s="349">
        <v>63.640896086331381</v>
      </c>
      <c r="Q119" s="350">
        <v>104.05776626638412</v>
      </c>
      <c r="R119" s="364"/>
    </row>
    <row r="120" spans="11:18" ht="15" customHeight="1">
      <c r="L120" s="254"/>
      <c r="M120" s="342" t="s">
        <v>215</v>
      </c>
      <c r="N120" s="376">
        <v>138.99</v>
      </c>
      <c r="O120" s="348">
        <v>78.040512917934365</v>
      </c>
      <c r="P120" s="349">
        <v>64.605580342762011</v>
      </c>
      <c r="Q120" s="350">
        <v>104.81741238608568</v>
      </c>
      <c r="R120" s="364"/>
    </row>
    <row r="121" spans="11:18" ht="15" customHeight="1">
      <c r="L121" s="254"/>
      <c r="M121" s="342" t="s">
        <v>216</v>
      </c>
      <c r="N121" s="376">
        <v>145.41</v>
      </c>
      <c r="O121" s="348">
        <v>79.824483304279298</v>
      </c>
      <c r="P121" s="349">
        <v>63.840819360991539</v>
      </c>
      <c r="Q121" s="350">
        <v>109.70529239314921</v>
      </c>
      <c r="R121" s="364"/>
    </row>
    <row r="122" spans="11:18" ht="15" customHeight="1">
      <c r="L122" s="254"/>
      <c r="M122" s="342" t="s">
        <v>217</v>
      </c>
      <c r="N122" s="376">
        <v>147.6</v>
      </c>
      <c r="O122" s="348">
        <v>80.535653618100881</v>
      </c>
      <c r="P122" s="349">
        <v>63.227210788286882</v>
      </c>
      <c r="Q122" s="350">
        <v>106.26962183155166</v>
      </c>
      <c r="R122" s="364"/>
    </row>
    <row r="123" spans="11:18" ht="15" customHeight="1">
      <c r="L123" s="254"/>
      <c r="M123" s="342" t="s">
        <v>218</v>
      </c>
      <c r="N123" s="376">
        <v>140.40945059473935</v>
      </c>
      <c r="O123" s="348">
        <v>76.591049294098227</v>
      </c>
      <c r="P123" s="349">
        <v>66.123186918610543</v>
      </c>
      <c r="Q123" s="350">
        <v>106.34637250403942</v>
      </c>
      <c r="R123" s="364"/>
    </row>
    <row r="124" spans="11:18" ht="15" customHeight="1">
      <c r="L124" s="254"/>
      <c r="M124" s="342" t="s">
        <v>219</v>
      </c>
      <c r="N124" s="376">
        <v>143.339</v>
      </c>
      <c r="O124" s="348">
        <v>74.606006917897531</v>
      </c>
      <c r="P124" s="349">
        <v>64.530239898519724</v>
      </c>
      <c r="Q124" s="350">
        <v>111.99023199023199</v>
      </c>
      <c r="R124" s="364"/>
    </row>
    <row r="125" spans="11:18" ht="15" customHeight="1">
      <c r="L125" s="254"/>
      <c r="M125" s="342" t="s">
        <v>220</v>
      </c>
      <c r="N125" s="376">
        <v>145.24</v>
      </c>
      <c r="O125" s="348">
        <v>77.515479968501893</v>
      </c>
      <c r="P125" s="349">
        <v>66.759236865030005</v>
      </c>
      <c r="Q125" s="350">
        <v>117.94406102433709</v>
      </c>
      <c r="R125" s="364"/>
    </row>
    <row r="126" spans="11:18" ht="15" customHeight="1" thickBot="1">
      <c r="L126" s="254"/>
      <c r="M126" s="343" t="s">
        <v>221</v>
      </c>
      <c r="N126" s="377">
        <v>125.50634889755564</v>
      </c>
      <c r="O126" s="351">
        <v>77.689862719614126</v>
      </c>
      <c r="P126" s="352">
        <v>66.87616407388154</v>
      </c>
      <c r="Q126" s="353">
        <v>111.50015212501184</v>
      </c>
      <c r="R126" s="364"/>
    </row>
    <row r="127" spans="11:18" ht="15" customHeight="1">
      <c r="K127" s="363"/>
      <c r="L127" s="254"/>
      <c r="M127" s="341" t="s">
        <v>222</v>
      </c>
      <c r="N127" s="373">
        <v>150.13999999999999</v>
      </c>
      <c r="O127" s="354">
        <v>77.673216887490469</v>
      </c>
      <c r="P127" s="354">
        <v>65.798734324720783</v>
      </c>
      <c r="Q127" s="355">
        <v>123.49847570233078</v>
      </c>
      <c r="R127" s="364"/>
    </row>
    <row r="128" spans="11:18" ht="15" customHeight="1">
      <c r="K128" s="363"/>
      <c r="L128" s="254"/>
      <c r="M128" s="342" t="s">
        <v>223</v>
      </c>
      <c r="N128" s="374">
        <v>193.77</v>
      </c>
      <c r="O128" s="356">
        <v>87.686503308174593</v>
      </c>
      <c r="P128" s="356">
        <v>66.878899336637645</v>
      </c>
      <c r="Q128" s="357">
        <v>131.12727368379521</v>
      </c>
      <c r="R128" s="364"/>
    </row>
    <row r="129" spans="11:18" ht="15" customHeight="1">
      <c r="K129" s="363"/>
      <c r="L129" s="254"/>
      <c r="M129" s="344" t="s">
        <v>224</v>
      </c>
      <c r="N129" s="374">
        <v>212.97</v>
      </c>
      <c r="O129" s="356">
        <v>86.555211701921692</v>
      </c>
      <c r="P129" s="356">
        <v>67.387198303221794</v>
      </c>
      <c r="Q129" s="357">
        <v>134.34256366052509</v>
      </c>
      <c r="R129" s="364"/>
    </row>
    <row r="130" spans="11:18" ht="15" customHeight="1">
      <c r="K130" s="363"/>
      <c r="L130" s="254"/>
      <c r="M130" s="342" t="s">
        <v>225</v>
      </c>
      <c r="N130" s="374">
        <v>386.71</v>
      </c>
      <c r="O130" s="356">
        <v>106.17628298064109</v>
      </c>
      <c r="P130" s="356">
        <v>65.695123304657798</v>
      </c>
      <c r="Q130" s="357">
        <v>139.98650456900396</v>
      </c>
      <c r="R130" s="364"/>
    </row>
    <row r="131" spans="11:18" ht="15" customHeight="1">
      <c r="K131" s="363"/>
      <c r="L131" s="254"/>
      <c r="M131" s="342" t="s">
        <v>226</v>
      </c>
      <c r="N131" s="374">
        <v>491.56836629431831</v>
      </c>
      <c r="O131" s="356">
        <v>114.60440956711743</v>
      </c>
      <c r="P131" s="356">
        <v>70.069072229066606</v>
      </c>
      <c r="Q131" s="357">
        <v>152.20798691563309</v>
      </c>
      <c r="R131" s="364"/>
    </row>
    <row r="132" spans="11:18" ht="15" customHeight="1">
      <c r="K132" s="363"/>
      <c r="L132" s="254"/>
      <c r="M132" s="342" t="s">
        <v>227</v>
      </c>
      <c r="N132" s="374">
        <v>272</v>
      </c>
      <c r="O132" s="356">
        <v>94.881256557776055</v>
      </c>
      <c r="P132" s="356">
        <v>70.61203472190391</v>
      </c>
      <c r="Q132" s="357">
        <v>160.52579924144089</v>
      </c>
      <c r="R132" s="364"/>
    </row>
    <row r="133" spans="11:18" ht="15" customHeight="1">
      <c r="K133" s="363"/>
      <c r="L133" s="254"/>
      <c r="M133" s="342" t="s">
        <v>228</v>
      </c>
      <c r="N133" s="374">
        <v>277.95999999999998</v>
      </c>
      <c r="O133" s="356">
        <v>92.122277910948483</v>
      </c>
      <c r="P133" s="356">
        <v>69.364738609029246</v>
      </c>
      <c r="Q133" s="357">
        <v>173.13610338020916</v>
      </c>
      <c r="R133" s="364"/>
    </row>
    <row r="134" spans="11:18" ht="15" customHeight="1">
      <c r="K134" s="363"/>
      <c r="L134" s="254"/>
      <c r="M134" s="342" t="s">
        <v>229</v>
      </c>
      <c r="N134" s="374">
        <v>227.4</v>
      </c>
      <c r="O134" s="356">
        <v>90.160574615558176</v>
      </c>
      <c r="P134" s="356">
        <v>76.978586765972096</v>
      </c>
      <c r="Q134" s="357">
        <v>155.80433996177288</v>
      </c>
      <c r="R134" s="364"/>
    </row>
    <row r="135" spans="11:18" ht="15" customHeight="1">
      <c r="K135" s="363"/>
      <c r="L135" s="254"/>
      <c r="M135" s="342" t="s">
        <v>230</v>
      </c>
      <c r="N135" s="374">
        <v>206.3</v>
      </c>
      <c r="O135" s="356">
        <v>86.582692677409725</v>
      </c>
      <c r="P135" s="356">
        <v>75.68901217267171</v>
      </c>
      <c r="Q135" s="357">
        <v>140.13791437449902</v>
      </c>
      <c r="R135" s="364"/>
    </row>
    <row r="136" spans="11:18" ht="15" customHeight="1">
      <c r="K136" s="363"/>
      <c r="L136" s="254"/>
      <c r="M136" s="342" t="s">
        <v>231</v>
      </c>
      <c r="N136" s="374">
        <v>190.25</v>
      </c>
      <c r="O136" s="356">
        <v>76.917821229444812</v>
      </c>
      <c r="P136" s="356">
        <v>71.009930539571783</v>
      </c>
      <c r="Q136" s="357">
        <v>114.03292779835921</v>
      </c>
      <c r="R136" s="364"/>
    </row>
    <row r="137" spans="11:18" ht="15" customHeight="1">
      <c r="K137" s="363"/>
      <c r="L137" s="254"/>
      <c r="M137" s="342" t="s">
        <v>232</v>
      </c>
      <c r="N137" s="374">
        <v>114.96</v>
      </c>
      <c r="O137" s="356">
        <v>75.456029222615498</v>
      </c>
      <c r="P137" s="356">
        <v>69.938256312195733</v>
      </c>
      <c r="Q137" s="357">
        <v>88.146131992876832</v>
      </c>
      <c r="R137" s="364"/>
    </row>
    <row r="138" spans="11:18" ht="15" customHeight="1" thickBot="1">
      <c r="K138" s="363"/>
      <c r="L138" s="254"/>
      <c r="M138" s="343" t="s">
        <v>233</v>
      </c>
      <c r="N138" s="375">
        <v>65.97</v>
      </c>
      <c r="O138" s="358">
        <v>73.4283755189944</v>
      </c>
      <c r="P138" s="358">
        <v>65.361459180205429</v>
      </c>
      <c r="Q138" s="359">
        <v>79.78048015980535</v>
      </c>
      <c r="R138" s="364"/>
    </row>
    <row r="139" spans="11:18" ht="15" customHeight="1">
      <c r="K139" s="363"/>
      <c r="L139" s="254"/>
      <c r="M139" s="341" t="s">
        <v>234</v>
      </c>
      <c r="N139" s="362">
        <v>126.15120965027894</v>
      </c>
      <c r="O139" s="345">
        <v>86.882070225810025</v>
      </c>
      <c r="P139" s="346">
        <v>73.160660641978353</v>
      </c>
      <c r="Q139" s="347">
        <v>97.763923850119255</v>
      </c>
      <c r="R139" s="364"/>
    </row>
    <row r="140" spans="11:18" ht="15" customHeight="1">
      <c r="K140" s="363"/>
      <c r="L140" s="254"/>
      <c r="M140" s="342" t="s">
        <v>235</v>
      </c>
      <c r="N140" s="376">
        <v>116.69</v>
      </c>
      <c r="O140" s="348">
        <v>90.785031067378128</v>
      </c>
      <c r="P140" s="349">
        <v>75.30090564555924</v>
      </c>
      <c r="Q140" s="350">
        <v>104.39125340468418</v>
      </c>
      <c r="R140" s="364"/>
    </row>
    <row r="141" spans="11:18" ht="15" customHeight="1">
      <c r="K141" s="363"/>
      <c r="L141" s="254"/>
      <c r="M141" s="344" t="s">
        <v>236</v>
      </c>
      <c r="N141" s="376">
        <v>105.16</v>
      </c>
      <c r="O141" s="348">
        <v>83.198881558284072</v>
      </c>
      <c r="P141" s="349">
        <v>71.268787950916263</v>
      </c>
      <c r="Q141" s="350">
        <v>95.385005666470065</v>
      </c>
      <c r="R141" s="364"/>
    </row>
    <row r="142" spans="11:18" ht="15" customHeight="1">
      <c r="K142" s="363"/>
      <c r="L142" s="254"/>
      <c r="M142" s="342" t="s">
        <v>237</v>
      </c>
      <c r="N142" s="376">
        <v>120.35</v>
      </c>
      <c r="O142" s="348">
        <v>86.919247190424528</v>
      </c>
      <c r="P142" s="349">
        <v>72.476662459969305</v>
      </c>
      <c r="Q142" s="350">
        <v>103.28120702240358</v>
      </c>
      <c r="R142" s="364"/>
    </row>
    <row r="143" spans="11:18" ht="15" customHeight="1">
      <c r="K143" s="363"/>
      <c r="L143" s="255"/>
      <c r="M143" s="342" t="s">
        <v>238</v>
      </c>
      <c r="N143" s="376">
        <v>124.24164428149969</v>
      </c>
      <c r="O143" s="348">
        <v>87.865066896707503</v>
      </c>
      <c r="P143" s="349">
        <v>72.678445389322633</v>
      </c>
      <c r="Q143" s="350">
        <v>108.38250979279981</v>
      </c>
      <c r="R143" s="364"/>
    </row>
    <row r="144" spans="11:18" ht="15" customHeight="1">
      <c r="K144" s="363"/>
      <c r="L144" s="255"/>
      <c r="M144" s="342" t="s">
        <v>239</v>
      </c>
      <c r="N144" s="376">
        <v>131.08000000000001</v>
      </c>
      <c r="O144" s="348">
        <v>104.41416896217591</v>
      </c>
      <c r="P144" s="349">
        <v>73.652522497155033</v>
      </c>
      <c r="Q144" s="350">
        <v>114.30730760728351</v>
      </c>
      <c r="R144" s="364"/>
    </row>
    <row r="145" spans="11:18" ht="15" customHeight="1">
      <c r="K145" s="363"/>
      <c r="L145" s="255"/>
      <c r="M145" s="342" t="s">
        <v>240</v>
      </c>
      <c r="N145" s="376">
        <v>134.94008022321501</v>
      </c>
      <c r="O145" s="348">
        <v>103.2720671246846</v>
      </c>
      <c r="P145" s="349">
        <v>73.072858391802811</v>
      </c>
      <c r="Q145" s="350">
        <v>112.36610153345447</v>
      </c>
      <c r="R145" s="364"/>
    </row>
    <row r="146" spans="11:18" ht="15" customHeight="1">
      <c r="K146" s="363"/>
      <c r="L146" s="255"/>
      <c r="M146" s="342" t="s">
        <v>241</v>
      </c>
      <c r="N146" s="376">
        <v>133.87</v>
      </c>
      <c r="O146" s="348">
        <v>102.19148481887628</v>
      </c>
      <c r="P146" s="349">
        <v>72.327579697153965</v>
      </c>
      <c r="Q146" s="350">
        <v>118.56274390974559</v>
      </c>
      <c r="R146" s="364"/>
    </row>
    <row r="147" spans="11:18" ht="15" customHeight="1">
      <c r="K147" s="363"/>
      <c r="L147" s="255"/>
      <c r="M147" s="342" t="s">
        <v>242</v>
      </c>
      <c r="N147" s="376">
        <v>149.81</v>
      </c>
      <c r="O147" s="348">
        <v>99.856558516428223</v>
      </c>
      <c r="P147" s="349">
        <v>71.753600537044491</v>
      </c>
      <c r="Q147" s="350">
        <v>112.26395243377979</v>
      </c>
      <c r="R147" s="364"/>
    </row>
    <row r="148" spans="11:18" ht="15" customHeight="1">
      <c r="K148" s="363"/>
      <c r="L148" s="255"/>
      <c r="M148" s="342" t="s">
        <v>243</v>
      </c>
      <c r="N148" s="376">
        <v>195.9</v>
      </c>
      <c r="O148" s="348">
        <v>105.29207717783309</v>
      </c>
      <c r="P148" s="349">
        <v>70.439991816999992</v>
      </c>
      <c r="Q148" s="350">
        <v>114.27565450160756</v>
      </c>
      <c r="R148" s="364"/>
    </row>
    <row r="149" spans="11:18" ht="15" customHeight="1">
      <c r="K149" s="363"/>
      <c r="L149" s="255"/>
      <c r="M149" s="342" t="s">
        <v>244</v>
      </c>
      <c r="N149" s="376">
        <v>209.32</v>
      </c>
      <c r="O149" s="348">
        <v>110.50567507487723</v>
      </c>
      <c r="P149" s="349">
        <v>74.794511750324645</v>
      </c>
      <c r="Q149" s="350">
        <v>120.21838146484663</v>
      </c>
      <c r="R149" s="364"/>
    </row>
    <row r="150" spans="11:18" ht="15" customHeight="1" thickBot="1">
      <c r="K150" s="363"/>
      <c r="L150" s="255"/>
      <c r="M150" s="343" t="s">
        <v>245</v>
      </c>
      <c r="N150" s="377">
        <v>295.76</v>
      </c>
      <c r="O150" s="351">
        <v>120.59310119732748</v>
      </c>
      <c r="P150" s="352">
        <v>72.653828032427612</v>
      </c>
      <c r="Q150" s="353">
        <v>117.65183574190908</v>
      </c>
      <c r="R150" s="364"/>
    </row>
    <row r="151" spans="11:18" ht="15" customHeight="1">
      <c r="K151" s="363"/>
      <c r="M151" s="341" t="s">
        <v>288</v>
      </c>
      <c r="N151" s="362">
        <v>302.5</v>
      </c>
      <c r="O151" s="345">
        <v>119.09094657235629</v>
      </c>
      <c r="P151" s="346">
        <v>85.526019763643021</v>
      </c>
      <c r="Q151" s="347">
        <v>111.27135724528794</v>
      </c>
      <c r="R151" s="364"/>
    </row>
    <row r="152" spans="11:18" ht="15" customHeight="1">
      <c r="K152" s="363"/>
      <c r="M152" s="342" t="s">
        <v>289</v>
      </c>
      <c r="N152" s="376">
        <v>305.75</v>
      </c>
      <c r="O152" s="348">
        <v>128.63581691490009</v>
      </c>
      <c r="P152" s="349">
        <v>86.618138355854512</v>
      </c>
      <c r="Q152" s="350">
        <v>114.85977205397465</v>
      </c>
      <c r="R152" s="364"/>
    </row>
    <row r="153" spans="11:18" ht="15" customHeight="1">
      <c r="K153" s="363"/>
      <c r="M153" s="344" t="s">
        <v>290</v>
      </c>
      <c r="N153" s="376">
        <v>156.82123398748558</v>
      </c>
      <c r="O153" s="348">
        <v>101.6837019853478</v>
      </c>
      <c r="P153" s="349">
        <v>72.466570003660237</v>
      </c>
      <c r="Q153" s="350">
        <v>109.83227624228603</v>
      </c>
      <c r="R153" s="364"/>
    </row>
    <row r="154" spans="11:18" ht="15" customHeight="1">
      <c r="K154" s="363"/>
      <c r="M154" s="342" t="s">
        <v>291</v>
      </c>
      <c r="N154" s="376">
        <v>157.18</v>
      </c>
      <c r="O154" s="348">
        <v>104.25412017894305</v>
      </c>
      <c r="P154" s="349">
        <v>73.997518604671782</v>
      </c>
      <c r="Q154" s="350">
        <v>118.09436929169831</v>
      </c>
      <c r="R154" s="364"/>
    </row>
    <row r="155" spans="11:18" ht="15" customHeight="1">
      <c r="K155" s="363"/>
      <c r="M155" s="342" t="s">
        <v>292</v>
      </c>
      <c r="N155" s="376">
        <v>185.75</v>
      </c>
      <c r="O155" s="348">
        <v>110.52517440309352</v>
      </c>
      <c r="P155" s="349">
        <v>77.114204580988016</v>
      </c>
      <c r="Q155" s="350">
        <v>115.4724874174785</v>
      </c>
      <c r="R155" s="364"/>
    </row>
    <row r="156" spans="11:18" ht="15" customHeight="1">
      <c r="K156" s="363"/>
      <c r="M156" s="342" t="s">
        <v>293</v>
      </c>
      <c r="N156" s="376">
        <v>192.8</v>
      </c>
      <c r="O156" s="348">
        <v>116.04933062069068</v>
      </c>
      <c r="P156" s="349">
        <v>79.946521520422024</v>
      </c>
      <c r="Q156" s="350">
        <v>112.82703564885252</v>
      </c>
      <c r="R156" s="364"/>
    </row>
    <row r="157" spans="11:18" ht="15" customHeight="1">
      <c r="K157" s="363"/>
      <c r="M157" s="342" t="s">
        <v>294</v>
      </c>
      <c r="N157" s="376">
        <v>158.63</v>
      </c>
      <c r="O157" s="348">
        <v>106.25268584324873</v>
      </c>
      <c r="P157" s="349">
        <v>77.035013314312053</v>
      </c>
      <c r="Q157" s="350">
        <v>114.96627085599125</v>
      </c>
      <c r="R157" s="364"/>
    </row>
    <row r="158" spans="11:18" ht="15" customHeight="1">
      <c r="K158" s="363"/>
      <c r="M158" s="342" t="s">
        <v>295</v>
      </c>
      <c r="N158" s="376">
        <v>155.62753687495646</v>
      </c>
      <c r="O158" s="348">
        <v>105.89646070552489</v>
      </c>
      <c r="P158" s="349">
        <v>76.201241594429916</v>
      </c>
      <c r="Q158" s="350">
        <v>114.25620738184575</v>
      </c>
      <c r="R158" s="364"/>
    </row>
    <row r="159" spans="11:18" ht="15" customHeight="1">
      <c r="K159" s="363"/>
      <c r="M159" s="342" t="s">
        <v>296</v>
      </c>
      <c r="N159" s="376">
        <v>134.31</v>
      </c>
      <c r="O159" s="348">
        <v>101.11231238843524</v>
      </c>
      <c r="P159" s="349">
        <v>74.979739782105852</v>
      </c>
      <c r="Q159" s="350">
        <v>117.44692941566406</v>
      </c>
      <c r="R159" s="364"/>
    </row>
    <row r="160" spans="11:18" ht="15" customHeight="1">
      <c r="K160" s="363"/>
      <c r="M160" s="342" t="s">
        <v>297</v>
      </c>
      <c r="N160" s="376">
        <v>135.07</v>
      </c>
      <c r="O160" s="348">
        <v>97.811812058085835</v>
      </c>
      <c r="P160" s="349">
        <v>72.260470914476485</v>
      </c>
      <c r="Q160" s="350">
        <v>120.71558688897088</v>
      </c>
      <c r="R160" s="364"/>
    </row>
    <row r="161" spans="11:18" ht="15" customHeight="1">
      <c r="K161" s="363"/>
      <c r="M161" s="342" t="s">
        <v>298</v>
      </c>
      <c r="N161" s="376">
        <v>130.10900000000001</v>
      </c>
      <c r="O161" s="348">
        <v>98.67629448686678</v>
      </c>
      <c r="P161" s="349">
        <v>73.547987188246267</v>
      </c>
      <c r="Q161" s="350">
        <v>123.34431549833442</v>
      </c>
      <c r="R161" s="364"/>
    </row>
    <row r="162" spans="11:18" ht="15" customHeight="1" thickBot="1">
      <c r="K162" s="363"/>
      <c r="M162" s="343" t="s">
        <v>299</v>
      </c>
      <c r="N162" s="377">
        <v>124.646</v>
      </c>
      <c r="O162" s="351">
        <v>99.65</v>
      </c>
      <c r="P162" s="352">
        <v>72.510000000000005</v>
      </c>
      <c r="Q162" s="353">
        <v>128.54</v>
      </c>
      <c r="R162" s="364"/>
    </row>
  </sheetData>
  <mergeCells count="6">
    <mergeCell ref="O4:Q5"/>
    <mergeCell ref="N4:N6"/>
    <mergeCell ref="M4:M6"/>
    <mergeCell ref="B1:K1"/>
    <mergeCell ref="B2:K2"/>
    <mergeCell ref="B3:K3"/>
  </mergeCells>
  <phoneticPr fontId="13" type="noConversion"/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2" tint="-9.9978637043366805E-2"/>
  </sheetPr>
  <dimension ref="B1:BN87"/>
  <sheetViews>
    <sheetView zoomScale="125" zoomScaleNormal="125" workbookViewId="0">
      <selection activeCell="L1" sqref="L1"/>
    </sheetView>
  </sheetViews>
  <sheetFormatPr baseColWidth="10" defaultColWidth="10.6640625" defaultRowHeight="15" customHeight="1"/>
  <cols>
    <col min="1" max="1" width="2.6640625" customWidth="1"/>
    <col min="2" max="9" width="10.6640625" customWidth="1"/>
    <col min="10" max="10" width="2.6640625" customWidth="1"/>
    <col min="11" max="18" width="10.6640625" customWidth="1"/>
    <col min="19" max="19" width="2.6640625" customWidth="1"/>
    <col min="20" max="20" width="12.6640625" style="77" customWidth="1"/>
    <col min="21" max="22" width="11" style="77" customWidth="1"/>
    <col min="23" max="23" width="11.109375" style="77" customWidth="1"/>
    <col min="24" max="24" width="10.6640625" style="77" customWidth="1"/>
    <col min="25" max="25" width="9.88671875" style="77" customWidth="1"/>
    <col min="26" max="26" width="11.33203125" style="77" customWidth="1"/>
    <col min="27" max="27" width="10.44140625" style="77" customWidth="1"/>
    <col min="28" max="28" width="10.33203125" style="77" customWidth="1"/>
    <col min="29" max="30" width="10.88671875" style="77" customWidth="1"/>
    <col min="31" max="31" width="10.109375" style="77" customWidth="1"/>
    <col min="32" max="32" width="11.33203125" style="77" customWidth="1"/>
    <col min="33" max="33" width="11" customWidth="1"/>
    <col min="34" max="34" width="11.109375" customWidth="1"/>
    <col min="35" max="37" width="10.5546875" customWidth="1"/>
    <col min="38" max="38" width="11" customWidth="1"/>
    <col min="39" max="39" width="10.6640625" customWidth="1"/>
    <col min="40" max="40" width="10" customWidth="1"/>
    <col min="41" max="41" width="10.88671875" customWidth="1"/>
    <col min="42" max="42" width="11" customWidth="1"/>
    <col min="43" max="43" width="11.109375" customWidth="1"/>
    <col min="44" max="44" width="10.33203125" customWidth="1"/>
    <col min="46" max="46" width="10" customWidth="1"/>
    <col min="47" max="48" width="10.33203125" customWidth="1"/>
    <col min="49" max="49" width="9.88671875" customWidth="1"/>
    <col min="50" max="50" width="10.6640625" customWidth="1"/>
    <col min="51" max="51" width="10.109375" customWidth="1"/>
    <col min="52" max="52" width="9.6640625" customWidth="1"/>
    <col min="53" max="53" width="9.109375" customWidth="1"/>
    <col min="54" max="54" width="10.6640625" customWidth="1"/>
    <col min="58" max="58" width="11.6640625" customWidth="1"/>
  </cols>
  <sheetData>
    <row r="1" spans="2:66" ht="15" customHeight="1">
      <c r="B1" s="598" t="s">
        <v>24</v>
      </c>
      <c r="C1" s="598"/>
      <c r="D1" s="598"/>
      <c r="E1" s="598"/>
      <c r="F1" s="598"/>
      <c r="G1" s="598"/>
      <c r="H1" s="598"/>
      <c r="I1" s="598"/>
    </row>
    <row r="2" spans="2:66" ht="15" customHeight="1">
      <c r="B2" s="599" t="s">
        <v>25</v>
      </c>
      <c r="C2" s="599"/>
      <c r="D2" s="599"/>
      <c r="E2" s="599"/>
      <c r="F2" s="599"/>
      <c r="G2" s="599"/>
      <c r="H2" s="599"/>
      <c r="I2" s="599"/>
    </row>
    <row r="3" spans="2:66" ht="15" customHeight="1" thickBot="1">
      <c r="B3" s="599" t="s">
        <v>358</v>
      </c>
      <c r="C3" s="599"/>
      <c r="D3" s="599"/>
      <c r="E3" s="599"/>
      <c r="F3" s="599"/>
      <c r="G3" s="599"/>
      <c r="H3" s="599"/>
      <c r="I3" s="599"/>
      <c r="K3" s="78"/>
      <c r="L3" s="78"/>
      <c r="M3" s="78"/>
      <c r="N3" s="78"/>
      <c r="O3" s="78"/>
      <c r="P3" s="78"/>
      <c r="Q3" s="78"/>
      <c r="R3" s="78"/>
    </row>
    <row r="4" spans="2:66" ht="15" customHeight="1"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622" t="s">
        <v>15</v>
      </c>
      <c r="U4" s="623"/>
      <c r="V4" s="623"/>
      <c r="W4" s="623"/>
      <c r="X4" s="623"/>
      <c r="Y4" s="623"/>
      <c r="Z4" s="623"/>
      <c r="AA4" s="623"/>
      <c r="AB4" s="623"/>
      <c r="AC4" s="623"/>
      <c r="AD4" s="623"/>
      <c r="AE4" s="623"/>
      <c r="AF4" s="623"/>
      <c r="AG4" s="623"/>
      <c r="AH4" s="623"/>
      <c r="AI4" s="623"/>
      <c r="AJ4" s="623"/>
      <c r="AK4" s="623"/>
      <c r="AL4" s="623"/>
      <c r="AM4" s="623"/>
      <c r="AN4" s="623"/>
      <c r="AO4" s="623"/>
      <c r="AP4" s="623"/>
      <c r="AQ4" s="623"/>
      <c r="AR4" s="623"/>
      <c r="AS4" s="623"/>
      <c r="AT4" s="623"/>
      <c r="AU4" s="623"/>
      <c r="AV4" s="623"/>
      <c r="AW4" s="623"/>
      <c r="AX4" s="623"/>
      <c r="AY4" s="623"/>
      <c r="AZ4" s="623"/>
      <c r="BA4" s="623"/>
      <c r="BB4" s="623"/>
      <c r="BC4" s="623"/>
      <c r="BD4" s="623"/>
      <c r="BE4" s="623"/>
      <c r="BF4" s="623"/>
      <c r="BG4" s="623"/>
      <c r="BH4" s="623"/>
      <c r="BI4" s="623"/>
      <c r="BJ4" s="623"/>
      <c r="BK4" s="623"/>
      <c r="BL4" s="623"/>
      <c r="BM4" s="623"/>
      <c r="BN4" s="624"/>
    </row>
    <row r="5" spans="2:66" ht="15" customHeight="1" thickBot="1"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625"/>
      <c r="U5" s="626"/>
      <c r="V5" s="626"/>
      <c r="W5" s="626"/>
      <c r="X5" s="626"/>
      <c r="Y5" s="626"/>
      <c r="Z5" s="626"/>
      <c r="AA5" s="626"/>
      <c r="AB5" s="626"/>
      <c r="AC5" s="626"/>
      <c r="AD5" s="626"/>
      <c r="AE5" s="626"/>
      <c r="AF5" s="626"/>
      <c r="AG5" s="626"/>
      <c r="AH5" s="626"/>
      <c r="AI5" s="626"/>
      <c r="AJ5" s="626"/>
      <c r="AK5" s="626"/>
      <c r="AL5" s="626"/>
      <c r="AM5" s="626"/>
      <c r="AN5" s="626"/>
      <c r="AO5" s="626"/>
      <c r="AP5" s="626"/>
      <c r="AQ5" s="626"/>
      <c r="AR5" s="626"/>
      <c r="AS5" s="626"/>
      <c r="AT5" s="626"/>
      <c r="AU5" s="626"/>
      <c r="AV5" s="626"/>
      <c r="AW5" s="626"/>
      <c r="AX5" s="626"/>
      <c r="AY5" s="626"/>
      <c r="AZ5" s="626"/>
      <c r="BA5" s="626"/>
      <c r="BB5" s="626"/>
      <c r="BC5" s="626"/>
      <c r="BD5" s="626"/>
      <c r="BE5" s="626"/>
      <c r="BF5" s="626"/>
      <c r="BG5" s="626"/>
      <c r="BH5" s="626"/>
      <c r="BI5" s="626"/>
      <c r="BJ5" s="626"/>
      <c r="BK5" s="626"/>
      <c r="BL5" s="626"/>
      <c r="BM5" s="626"/>
      <c r="BN5" s="627"/>
    </row>
    <row r="6" spans="2:66" ht="15" customHeight="1">
      <c r="T6" s="620" t="s">
        <v>6</v>
      </c>
      <c r="U6" s="612" t="s">
        <v>16</v>
      </c>
      <c r="V6" s="618" t="s">
        <v>17</v>
      </c>
      <c r="W6" s="612" t="s">
        <v>18</v>
      </c>
      <c r="X6" s="614" t="s">
        <v>19</v>
      </c>
      <c r="Y6" s="628" t="s">
        <v>8</v>
      </c>
      <c r="Z6" s="618" t="s">
        <v>9</v>
      </c>
      <c r="AA6" s="612" t="s">
        <v>1</v>
      </c>
      <c r="AB6" s="614" t="s">
        <v>2</v>
      </c>
      <c r="AC6" s="616" t="s">
        <v>160</v>
      </c>
      <c r="AD6" s="614" t="s">
        <v>161</v>
      </c>
      <c r="AE6" s="616" t="s">
        <v>173</v>
      </c>
      <c r="AF6" s="614" t="s">
        <v>174</v>
      </c>
      <c r="AG6" s="616" t="s">
        <v>188</v>
      </c>
      <c r="AH6" s="614" t="s">
        <v>189</v>
      </c>
      <c r="AI6" s="616" t="s">
        <v>202</v>
      </c>
      <c r="AJ6" s="614" t="s">
        <v>203</v>
      </c>
      <c r="AK6" s="616" t="s">
        <v>204</v>
      </c>
      <c r="AL6" s="614" t="s">
        <v>205</v>
      </c>
      <c r="AM6" s="616" t="s">
        <v>206</v>
      </c>
      <c r="AN6" s="614" t="s">
        <v>207</v>
      </c>
      <c r="AO6" s="616" t="s">
        <v>208</v>
      </c>
      <c r="AP6" s="614" t="s">
        <v>209</v>
      </c>
      <c r="AQ6" s="612" t="s">
        <v>286</v>
      </c>
      <c r="AR6" s="614" t="s">
        <v>287</v>
      </c>
      <c r="AS6" s="612" t="s">
        <v>304</v>
      </c>
      <c r="AT6" s="614" t="s">
        <v>305</v>
      </c>
      <c r="AU6" s="612" t="s">
        <v>306</v>
      </c>
      <c r="AV6" s="614" t="s">
        <v>307</v>
      </c>
      <c r="AW6" s="612" t="s">
        <v>308</v>
      </c>
      <c r="AX6" s="614" t="s">
        <v>309</v>
      </c>
      <c r="AY6" s="612" t="s">
        <v>310</v>
      </c>
      <c r="AZ6" s="614" t="s">
        <v>311</v>
      </c>
      <c r="BA6" s="612" t="s">
        <v>312</v>
      </c>
      <c r="BB6" s="614" t="s">
        <v>313</v>
      </c>
      <c r="BC6" s="612" t="s">
        <v>314</v>
      </c>
      <c r="BD6" s="614" t="s">
        <v>315</v>
      </c>
      <c r="BE6" s="612" t="s">
        <v>316</v>
      </c>
      <c r="BF6" s="614" t="s">
        <v>317</v>
      </c>
      <c r="BG6" s="612" t="s">
        <v>318</v>
      </c>
      <c r="BH6" s="614" t="s">
        <v>319</v>
      </c>
      <c r="BI6" s="612" t="s">
        <v>345</v>
      </c>
      <c r="BJ6" s="614" t="s">
        <v>346</v>
      </c>
      <c r="BK6" s="612" t="s">
        <v>348</v>
      </c>
      <c r="BL6" s="614" t="s">
        <v>349</v>
      </c>
      <c r="BM6" s="612" t="s">
        <v>356</v>
      </c>
      <c r="BN6" s="614" t="s">
        <v>357</v>
      </c>
    </row>
    <row r="7" spans="2:66" ht="15" customHeight="1" thickBot="1">
      <c r="T7" s="621"/>
      <c r="U7" s="613"/>
      <c r="V7" s="619"/>
      <c r="W7" s="613"/>
      <c r="X7" s="615"/>
      <c r="Y7" s="629"/>
      <c r="Z7" s="619"/>
      <c r="AA7" s="613"/>
      <c r="AB7" s="615"/>
      <c r="AC7" s="617"/>
      <c r="AD7" s="615"/>
      <c r="AE7" s="617"/>
      <c r="AF7" s="615"/>
      <c r="AG7" s="617"/>
      <c r="AH7" s="615"/>
      <c r="AI7" s="617"/>
      <c r="AJ7" s="615"/>
      <c r="AK7" s="617"/>
      <c r="AL7" s="615"/>
      <c r="AM7" s="617"/>
      <c r="AN7" s="615"/>
      <c r="AO7" s="617"/>
      <c r="AP7" s="615"/>
      <c r="AQ7" s="613"/>
      <c r="AR7" s="615"/>
      <c r="AS7" s="613"/>
      <c r="AT7" s="615"/>
      <c r="AU7" s="613"/>
      <c r="AV7" s="615"/>
      <c r="AW7" s="613"/>
      <c r="AX7" s="615"/>
      <c r="AY7" s="613"/>
      <c r="AZ7" s="615"/>
      <c r="BA7" s="613"/>
      <c r="BB7" s="615"/>
      <c r="BC7" s="613"/>
      <c r="BD7" s="615"/>
      <c r="BE7" s="613"/>
      <c r="BF7" s="615"/>
      <c r="BG7" s="613"/>
      <c r="BH7" s="615"/>
      <c r="BI7" s="613"/>
      <c r="BJ7" s="615"/>
      <c r="BK7" s="613"/>
      <c r="BL7" s="615"/>
      <c r="BM7" s="613"/>
      <c r="BN7" s="615"/>
    </row>
    <row r="8" spans="2:66" ht="15" customHeight="1">
      <c r="T8" s="378" t="s">
        <v>44</v>
      </c>
      <c r="U8" s="176">
        <v>1096.0999999999999</v>
      </c>
      <c r="V8" s="177">
        <v>-2669.5</v>
      </c>
      <c r="W8" s="176">
        <v>3038.13</v>
      </c>
      <c r="X8" s="177">
        <v>-6407.7</v>
      </c>
      <c r="Y8" s="176">
        <v>7612</v>
      </c>
      <c r="Z8" s="178">
        <v>-3040</v>
      </c>
      <c r="AA8" s="176">
        <v>739.86</v>
      </c>
      <c r="AB8" s="177">
        <v>-3577.11</v>
      </c>
      <c r="AC8" s="176">
        <v>1120</v>
      </c>
      <c r="AD8" s="177">
        <v>-1613</v>
      </c>
      <c r="AE8" s="176">
        <v>188.7</v>
      </c>
      <c r="AF8" s="177">
        <v>-32500.7</v>
      </c>
      <c r="AG8" s="176">
        <v>8558.6</v>
      </c>
      <c r="AH8" s="177">
        <v>-12908.65</v>
      </c>
      <c r="AI8" s="227">
        <v>4739</v>
      </c>
      <c r="AJ8" s="230">
        <v>-316</v>
      </c>
      <c r="AK8" s="227">
        <v>589</v>
      </c>
      <c r="AL8" s="237">
        <v>-21000</v>
      </c>
      <c r="AM8" s="244">
        <v>809.84</v>
      </c>
      <c r="AN8" s="245">
        <v>-5662.34</v>
      </c>
      <c r="AO8" s="244">
        <v>2711.4</v>
      </c>
      <c r="AP8" s="245">
        <v>-11785</v>
      </c>
      <c r="AQ8" s="244">
        <v>10238.549999999999</v>
      </c>
      <c r="AR8" s="321">
        <v>0</v>
      </c>
      <c r="AS8" s="244">
        <v>2664</v>
      </c>
      <c r="AT8" s="245">
        <v>-5105.91</v>
      </c>
      <c r="AU8" s="244">
        <v>3065.09</v>
      </c>
      <c r="AV8" s="245">
        <v>-2621.02</v>
      </c>
      <c r="AW8" s="244">
        <v>3563.84</v>
      </c>
      <c r="AX8" s="245">
        <v>-5335.64</v>
      </c>
      <c r="AY8" s="244">
        <v>19980.310000000001</v>
      </c>
      <c r="AZ8" s="245"/>
      <c r="BA8" s="244">
        <v>434</v>
      </c>
      <c r="BB8" s="245">
        <v>-7730.58</v>
      </c>
      <c r="BC8" s="244">
        <v>25094.55</v>
      </c>
      <c r="BD8" s="245">
        <v>-3822.37</v>
      </c>
      <c r="BE8" s="547">
        <v>0</v>
      </c>
      <c r="BF8" s="550">
        <v>-18868.173999999999</v>
      </c>
      <c r="BG8" s="547">
        <v>0</v>
      </c>
      <c r="BH8" s="550">
        <v>-29888.73</v>
      </c>
      <c r="BI8" s="547">
        <v>3665.4929999999999</v>
      </c>
      <c r="BJ8" s="550">
        <v>-33647.74</v>
      </c>
      <c r="BK8" s="547">
        <v>45086.378000000004</v>
      </c>
      <c r="BL8" s="550">
        <v>-40463.9</v>
      </c>
      <c r="BM8" s="547">
        <v>0</v>
      </c>
      <c r="BN8" s="550">
        <v>-21534.7249999999</v>
      </c>
    </row>
    <row r="9" spans="2:66" ht="15" customHeight="1">
      <c r="T9" s="379" t="s">
        <v>45</v>
      </c>
      <c r="U9" s="91">
        <v>777</v>
      </c>
      <c r="V9" s="92">
        <v>-9086</v>
      </c>
      <c r="W9" s="91">
        <v>11026.16</v>
      </c>
      <c r="X9" s="92">
        <v>-828.05</v>
      </c>
      <c r="Y9" s="91">
        <v>7128</v>
      </c>
      <c r="Z9" s="172">
        <v>-3060</v>
      </c>
      <c r="AA9" s="91">
        <v>0</v>
      </c>
      <c r="AB9" s="92">
        <v>-10035</v>
      </c>
      <c r="AC9" s="91">
        <v>0</v>
      </c>
      <c r="AD9" s="92">
        <v>0</v>
      </c>
      <c r="AE9" s="91">
        <v>111</v>
      </c>
      <c r="AF9" s="92">
        <v>-34321.81</v>
      </c>
      <c r="AG9" s="91">
        <v>1862.7</v>
      </c>
      <c r="AH9" s="92">
        <v>-7212.3</v>
      </c>
      <c r="AI9" s="228">
        <v>267</v>
      </c>
      <c r="AJ9" s="231">
        <v>-1862.2</v>
      </c>
      <c r="AK9" s="228">
        <v>596</v>
      </c>
      <c r="AL9" s="238">
        <v>-32876.78</v>
      </c>
      <c r="AM9" s="246">
        <v>3578.93</v>
      </c>
      <c r="AN9" s="247">
        <v>-2880</v>
      </c>
      <c r="AO9" s="246">
        <v>1845</v>
      </c>
      <c r="AP9" s="247">
        <v>-14667.55</v>
      </c>
      <c r="AQ9" s="246">
        <v>10392.91</v>
      </c>
      <c r="AR9" s="322">
        <v>0</v>
      </c>
      <c r="AS9" s="246">
        <v>4974.7299999999996</v>
      </c>
      <c r="AT9" s="247">
        <v>-1509.6</v>
      </c>
      <c r="AU9" s="246">
        <v>4301.49</v>
      </c>
      <c r="AV9" s="248">
        <v>0</v>
      </c>
      <c r="AW9" s="246">
        <v>27697.94</v>
      </c>
      <c r="AX9" s="248">
        <v>-25687.43</v>
      </c>
      <c r="AY9" s="246">
        <v>30538.87</v>
      </c>
      <c r="AZ9" s="247"/>
      <c r="BA9" s="246">
        <v>5800.2</v>
      </c>
      <c r="BB9" s="248">
        <v>-1395.36</v>
      </c>
      <c r="BC9" s="246">
        <v>13.09</v>
      </c>
      <c r="BD9" s="248">
        <v>-19445.39</v>
      </c>
      <c r="BE9" s="548">
        <v>1058.5859999999996</v>
      </c>
      <c r="BF9" s="551">
        <v>-15410.072</v>
      </c>
      <c r="BG9" s="548">
        <v>0</v>
      </c>
      <c r="BH9" s="551">
        <v>-26173.8</v>
      </c>
      <c r="BI9" s="548">
        <v>1548.3889999999999</v>
      </c>
      <c r="BJ9" s="551">
        <v>-56991.586000000003</v>
      </c>
      <c r="BK9" s="548">
        <v>10832.31500000001</v>
      </c>
      <c r="BL9" s="551">
        <v>-50897.5</v>
      </c>
      <c r="BM9" s="548">
        <v>0</v>
      </c>
      <c r="BN9" s="551">
        <v>-32815.067999999897</v>
      </c>
    </row>
    <row r="10" spans="2:66" ht="15" customHeight="1">
      <c r="T10" s="379" t="s">
        <v>46</v>
      </c>
      <c r="U10" s="91">
        <v>726.8</v>
      </c>
      <c r="V10" s="92">
        <v>-18404.2</v>
      </c>
      <c r="W10" s="91">
        <v>11043.17</v>
      </c>
      <c r="X10" s="92">
        <v>-780</v>
      </c>
      <c r="Y10" s="91">
        <v>1926</v>
      </c>
      <c r="Z10" s="172">
        <v>-6530</v>
      </c>
      <c r="AA10" s="91">
        <v>85.79</v>
      </c>
      <c r="AB10" s="92">
        <v>-12995</v>
      </c>
      <c r="AC10" s="91">
        <v>0</v>
      </c>
      <c r="AD10" s="92">
        <v>-24329.7</v>
      </c>
      <c r="AE10" s="91">
        <v>0</v>
      </c>
      <c r="AF10" s="92">
        <v>-39630.5</v>
      </c>
      <c r="AG10" s="91">
        <v>648.20000000000005</v>
      </c>
      <c r="AH10" s="92">
        <v>-22339.69</v>
      </c>
      <c r="AI10" s="228">
        <v>0</v>
      </c>
      <c r="AJ10" s="231">
        <v>-19887</v>
      </c>
      <c r="AK10" s="228">
        <v>594.5</v>
      </c>
      <c r="AL10" s="238">
        <v>-19319</v>
      </c>
      <c r="AM10" s="246">
        <v>3845</v>
      </c>
      <c r="AN10" s="247">
        <v>-15343</v>
      </c>
      <c r="AO10" s="246">
        <v>1573.66</v>
      </c>
      <c r="AP10" s="247">
        <v>-11560.01</v>
      </c>
      <c r="AQ10" s="246">
        <v>398</v>
      </c>
      <c r="AR10" s="322">
        <v>0</v>
      </c>
      <c r="AS10" s="246">
        <v>8910.85</v>
      </c>
      <c r="AT10" s="247">
        <v>-424</v>
      </c>
      <c r="AU10" s="324">
        <v>174.83</v>
      </c>
      <c r="AV10" s="480">
        <v>-678.49</v>
      </c>
      <c r="AW10" s="324">
        <v>6865.92</v>
      </c>
      <c r="AX10" s="480">
        <v>-4705</v>
      </c>
      <c r="AY10" s="246">
        <v>24484.59</v>
      </c>
      <c r="AZ10" s="247"/>
      <c r="BA10" s="324">
        <v>5074.91</v>
      </c>
      <c r="BB10" s="480">
        <v>-3438.77</v>
      </c>
      <c r="BC10" s="324">
        <v>510</v>
      </c>
      <c r="BD10" s="480">
        <v>-27570.41</v>
      </c>
      <c r="BE10" s="548">
        <v>4763.317</v>
      </c>
      <c r="BF10" s="551">
        <v>-23397.861000000001</v>
      </c>
      <c r="BG10" s="548">
        <v>11086.13</v>
      </c>
      <c r="BH10" s="551">
        <v>-25791.77</v>
      </c>
      <c r="BI10" s="548">
        <v>1817.2190000000001</v>
      </c>
      <c r="BJ10" s="551">
        <v>-43700.02</v>
      </c>
      <c r="BK10" s="548">
        <v>14370.842999999997</v>
      </c>
      <c r="BL10" s="551">
        <v>-60614.07</v>
      </c>
      <c r="BM10" s="548">
        <v>28044.66399999999</v>
      </c>
      <c r="BN10" s="551">
        <v>-43599.858999999698</v>
      </c>
    </row>
    <row r="11" spans="2:66" ht="15" customHeight="1">
      <c r="T11" s="379" t="s">
        <v>47</v>
      </c>
      <c r="U11" s="91">
        <v>735.5</v>
      </c>
      <c r="V11" s="92">
        <v>-24383.3</v>
      </c>
      <c r="W11" s="91">
        <v>9189.17</v>
      </c>
      <c r="X11" s="92">
        <v>-812.51</v>
      </c>
      <c r="Y11" s="91">
        <v>853</v>
      </c>
      <c r="Z11" s="172">
        <v>-3190</v>
      </c>
      <c r="AA11" s="91">
        <v>0</v>
      </c>
      <c r="AB11" s="92">
        <v>-7502</v>
      </c>
      <c r="AC11" s="91">
        <v>0</v>
      </c>
      <c r="AD11" s="92">
        <v>-13117</v>
      </c>
      <c r="AE11" s="91">
        <v>5</v>
      </c>
      <c r="AF11" s="92">
        <v>-17660.3</v>
      </c>
      <c r="AG11" s="91">
        <v>141.30000000000001</v>
      </c>
      <c r="AH11" s="92">
        <v>-23732.78</v>
      </c>
      <c r="AI11" s="228">
        <v>0</v>
      </c>
      <c r="AJ11" s="231">
        <v>-25461.4</v>
      </c>
      <c r="AK11" s="228">
        <v>666.8</v>
      </c>
      <c r="AL11" s="238">
        <v>0</v>
      </c>
      <c r="AM11" s="246">
        <v>4094.6</v>
      </c>
      <c r="AN11" s="248">
        <v>0</v>
      </c>
      <c r="AO11" s="246">
        <v>2</v>
      </c>
      <c r="AP11" s="248">
        <v>-20020.080000000002</v>
      </c>
      <c r="AQ11" s="246">
        <v>0</v>
      </c>
      <c r="AR11" s="323">
        <f>-4212.97-186.07</f>
        <v>-4399.04</v>
      </c>
      <c r="AS11" s="246">
        <v>8304.9500000000007</v>
      </c>
      <c r="AT11" s="248">
        <v>-273</v>
      </c>
      <c r="AU11" s="324">
        <v>49.3</v>
      </c>
      <c r="AV11" s="248">
        <v>-1855.86</v>
      </c>
      <c r="AW11" s="324">
        <v>6600.08</v>
      </c>
      <c r="AX11" s="248">
        <v>-12749.68</v>
      </c>
      <c r="AY11" s="246">
        <v>23980.17</v>
      </c>
      <c r="AZ11" s="248"/>
      <c r="BA11" s="324">
        <v>0</v>
      </c>
      <c r="BB11" s="248">
        <v>-12467.07</v>
      </c>
      <c r="BC11" s="324">
        <v>60</v>
      </c>
      <c r="BD11" s="248">
        <v>-37186.379999999997</v>
      </c>
      <c r="BE11" s="548">
        <v>731</v>
      </c>
      <c r="BF11" s="551">
        <v>-14564.17</v>
      </c>
      <c r="BG11" s="548">
        <v>1551.19</v>
      </c>
      <c r="BH11" s="551">
        <v>-35157.17</v>
      </c>
      <c r="BI11" s="548">
        <v>5022.3959999999997</v>
      </c>
      <c r="BJ11" s="551">
        <v>-50570.873900000101</v>
      </c>
      <c r="BK11" s="548">
        <v>1378.4109999999996</v>
      </c>
      <c r="BL11" s="551">
        <v>-49928.06</v>
      </c>
      <c r="BM11" s="548">
        <v>6170.0780000000041</v>
      </c>
      <c r="BN11" s="551">
        <v>-36735.234999999899</v>
      </c>
    </row>
    <row r="12" spans="2:66" ht="15" customHeight="1">
      <c r="T12" s="379" t="s">
        <v>48</v>
      </c>
      <c r="U12" s="91">
        <v>779.3</v>
      </c>
      <c r="V12" s="92">
        <v>-14266.7</v>
      </c>
      <c r="W12" s="91">
        <v>13996.21</v>
      </c>
      <c r="X12" s="92">
        <v>-666.32</v>
      </c>
      <c r="Y12" s="91">
        <v>272</v>
      </c>
      <c r="Z12" s="172">
        <v>-3000</v>
      </c>
      <c r="AA12" s="91">
        <v>0</v>
      </c>
      <c r="AB12" s="92">
        <v>-1625</v>
      </c>
      <c r="AC12" s="91">
        <v>307</v>
      </c>
      <c r="AD12" s="92">
        <v>-1986</v>
      </c>
      <c r="AE12" s="91">
        <v>279.89999999999998</v>
      </c>
      <c r="AF12" s="92">
        <v>-24885.55</v>
      </c>
      <c r="AG12" s="91">
        <v>1929.6</v>
      </c>
      <c r="AH12" s="92">
        <v>-15302.1</v>
      </c>
      <c r="AI12" s="228">
        <v>463.4</v>
      </c>
      <c r="AJ12" s="231">
        <v>-14306.57</v>
      </c>
      <c r="AK12" s="228">
        <v>922.2</v>
      </c>
      <c r="AL12" s="238">
        <v>0</v>
      </c>
      <c r="AM12" s="246">
        <v>4217</v>
      </c>
      <c r="AN12" s="248">
        <v>0</v>
      </c>
      <c r="AO12" s="246">
        <v>1871.3</v>
      </c>
      <c r="AP12" s="248">
        <v>-13794</v>
      </c>
      <c r="AQ12" s="324">
        <v>300</v>
      </c>
      <c r="AR12" s="323">
        <f>-7803.24-248.49</f>
        <v>-8051.73</v>
      </c>
      <c r="AS12" s="324">
        <v>5501.83</v>
      </c>
      <c r="AT12" s="248">
        <v>-40</v>
      </c>
      <c r="AU12" s="324">
        <v>0</v>
      </c>
      <c r="AV12" s="248">
        <v>-865.81</v>
      </c>
      <c r="AW12" s="324">
        <v>22648.68</v>
      </c>
      <c r="AX12" s="248">
        <v>0</v>
      </c>
      <c r="AY12" s="324">
        <v>49868.97</v>
      </c>
      <c r="AZ12" s="248"/>
      <c r="BA12" s="324">
        <v>2774</v>
      </c>
      <c r="BB12" s="248">
        <v>-4823.34</v>
      </c>
      <c r="BC12" s="324">
        <v>137.53</v>
      </c>
      <c r="BD12" s="248">
        <v>-22606.03</v>
      </c>
      <c r="BE12" s="548">
        <v>0</v>
      </c>
      <c r="BF12" s="551">
        <v>-9500.9410000000207</v>
      </c>
      <c r="BG12" s="548">
        <v>609.35</v>
      </c>
      <c r="BH12" s="551">
        <v>-40237.300000000003</v>
      </c>
      <c r="BI12" s="548">
        <v>9590.2599999999984</v>
      </c>
      <c r="BJ12" s="551">
        <v>-28953.954000000002</v>
      </c>
      <c r="BK12" s="548">
        <v>615.43399999999997</v>
      </c>
      <c r="BL12" s="551">
        <v>-59029.83</v>
      </c>
      <c r="BM12" s="548">
        <v>0</v>
      </c>
      <c r="BN12" s="551">
        <v>-22635.295999999798</v>
      </c>
    </row>
    <row r="13" spans="2:66" ht="15" customHeight="1">
      <c r="T13" s="379" t="s">
        <v>49</v>
      </c>
      <c r="U13" s="91">
        <v>1026.8</v>
      </c>
      <c r="V13" s="92">
        <v>-5447.9</v>
      </c>
      <c r="W13" s="91">
        <v>16377.51</v>
      </c>
      <c r="X13" s="92">
        <v>-219.65</v>
      </c>
      <c r="Y13" s="91">
        <v>930</v>
      </c>
      <c r="Z13" s="172">
        <v>0</v>
      </c>
      <c r="AA13" s="91">
        <v>950</v>
      </c>
      <c r="AB13" s="92">
        <v>-4308.45</v>
      </c>
      <c r="AC13" s="91">
        <v>0</v>
      </c>
      <c r="AD13" s="92">
        <v>-5199</v>
      </c>
      <c r="AE13" s="91">
        <v>0</v>
      </c>
      <c r="AF13" s="92">
        <v>-18602.2</v>
      </c>
      <c r="AG13" s="91">
        <v>6569.6</v>
      </c>
      <c r="AH13" s="92">
        <v>-12891</v>
      </c>
      <c r="AI13" s="228">
        <v>814.2</v>
      </c>
      <c r="AJ13" s="231">
        <v>-2109.5</v>
      </c>
      <c r="AK13" s="228">
        <v>600.70000000000005</v>
      </c>
      <c r="AL13" s="238">
        <v>-2428.52</v>
      </c>
      <c r="AM13" s="246">
        <v>14849.58</v>
      </c>
      <c r="AN13" s="248">
        <v>0</v>
      </c>
      <c r="AO13" s="246">
        <v>11099.49</v>
      </c>
      <c r="AP13" s="248">
        <v>-7053.65</v>
      </c>
      <c r="AQ13" s="324">
        <v>6219.3549999999996</v>
      </c>
      <c r="AR13" s="323">
        <v>0</v>
      </c>
      <c r="AS13" s="324">
        <v>1581.52</v>
      </c>
      <c r="AT13" s="248">
        <v>0</v>
      </c>
      <c r="AU13" s="324">
        <v>35</v>
      </c>
      <c r="AV13" s="248">
        <v>-525</v>
      </c>
      <c r="AW13" s="324">
        <v>383.98</v>
      </c>
      <c r="AX13" s="248">
        <v>0</v>
      </c>
      <c r="AY13" s="324">
        <v>30830.93</v>
      </c>
      <c r="AZ13" s="248"/>
      <c r="BA13" s="324">
        <v>3012.41</v>
      </c>
      <c r="BB13" s="248">
        <v>-8131.94</v>
      </c>
      <c r="BC13" s="324">
        <v>309.77</v>
      </c>
      <c r="BD13" s="248">
        <v>-41855.449999999997</v>
      </c>
      <c r="BE13" s="548">
        <v>0</v>
      </c>
      <c r="BF13" s="551">
        <v>-13245.582</v>
      </c>
      <c r="BG13" s="548">
        <v>0</v>
      </c>
      <c r="BH13" s="551">
        <v>-36278.21</v>
      </c>
      <c r="BI13" s="548">
        <v>0</v>
      </c>
      <c r="BJ13" s="551">
        <v>-31925.027999999998</v>
      </c>
      <c r="BK13" s="548">
        <v>9894.0560000000041</v>
      </c>
      <c r="BL13" s="551">
        <v>-48508.79</v>
      </c>
      <c r="BM13" s="548">
        <v>0</v>
      </c>
      <c r="BN13" s="551">
        <v>-48806.642099999997</v>
      </c>
    </row>
    <row r="14" spans="2:66" ht="15" customHeight="1">
      <c r="T14" s="379" t="s">
        <v>50</v>
      </c>
      <c r="U14" s="91">
        <v>6550.5</v>
      </c>
      <c r="V14" s="92">
        <v>-3707.2</v>
      </c>
      <c r="W14" s="91">
        <v>15431.78</v>
      </c>
      <c r="X14" s="92">
        <v>-407.84</v>
      </c>
      <c r="Y14" s="91">
        <v>2164</v>
      </c>
      <c r="Z14" s="172">
        <v>-8450</v>
      </c>
      <c r="AA14" s="91">
        <v>3767.5</v>
      </c>
      <c r="AB14" s="92">
        <v>-1115</v>
      </c>
      <c r="AC14" s="91">
        <v>0</v>
      </c>
      <c r="AD14" s="92">
        <v>-15408</v>
      </c>
      <c r="AE14" s="91">
        <v>6563</v>
      </c>
      <c r="AF14" s="92">
        <v>-5639.7</v>
      </c>
      <c r="AG14" s="91">
        <v>9954.9</v>
      </c>
      <c r="AH14" s="92">
        <v>-2886.4</v>
      </c>
      <c r="AI14" s="228">
        <v>8634.24</v>
      </c>
      <c r="AJ14" s="231">
        <v>-374.4</v>
      </c>
      <c r="AK14" s="228">
        <v>0</v>
      </c>
      <c r="AL14" s="238">
        <v>-7314.61</v>
      </c>
      <c r="AM14" s="246">
        <v>17660.349999999999</v>
      </c>
      <c r="AN14" s="248">
        <v>0</v>
      </c>
      <c r="AO14" s="246">
        <v>16517.169999999998</v>
      </c>
      <c r="AP14" s="248">
        <v>-4893</v>
      </c>
      <c r="AQ14" s="324">
        <v>8437.2540000000008</v>
      </c>
      <c r="AR14" s="323">
        <f>-790-40</f>
        <v>-830</v>
      </c>
      <c r="AS14" s="324">
        <v>10540.74</v>
      </c>
      <c r="AT14" s="248">
        <v>0</v>
      </c>
      <c r="AU14" s="324">
        <v>2298.84</v>
      </c>
      <c r="AV14" s="248">
        <v>-122.88</v>
      </c>
      <c r="AW14" s="324">
        <v>0</v>
      </c>
      <c r="AX14" s="248">
        <v>0</v>
      </c>
      <c r="AY14" s="324">
        <v>2204.38</v>
      </c>
      <c r="AZ14" s="248"/>
      <c r="BA14" s="324">
        <v>13</v>
      </c>
      <c r="BB14" s="248">
        <v>-24449.16</v>
      </c>
      <c r="BC14" s="324">
        <v>3894.53</v>
      </c>
      <c r="BD14" s="248">
        <v>-30388.03</v>
      </c>
      <c r="BE14" s="548">
        <v>0</v>
      </c>
      <c r="BF14" s="551">
        <v>-33674.383000000002</v>
      </c>
      <c r="BG14" s="548">
        <v>0</v>
      </c>
      <c r="BH14" s="551">
        <v>-21482.720000000001</v>
      </c>
      <c r="BI14" s="548">
        <v>0</v>
      </c>
      <c r="BJ14" s="551">
        <v>-26183.364000000001</v>
      </c>
      <c r="BK14" s="548">
        <v>3853.0530000000012</v>
      </c>
      <c r="BL14" s="551">
        <v>-57944.33</v>
      </c>
      <c r="BM14" s="548">
        <v>0</v>
      </c>
      <c r="BN14" s="551">
        <v>-51464.029199999997</v>
      </c>
    </row>
    <row r="15" spans="2:66" ht="15" customHeight="1">
      <c r="T15" s="379" t="s">
        <v>51</v>
      </c>
      <c r="U15" s="91">
        <v>11996.8</v>
      </c>
      <c r="V15" s="92">
        <v>-2963.3</v>
      </c>
      <c r="W15" s="91">
        <v>14951.71</v>
      </c>
      <c r="X15" s="92">
        <v>-363.68</v>
      </c>
      <c r="Y15" s="91">
        <v>1494</v>
      </c>
      <c r="Z15" s="172">
        <v>-19040</v>
      </c>
      <c r="AA15" s="91">
        <v>6808</v>
      </c>
      <c r="AB15" s="92">
        <v>-850</v>
      </c>
      <c r="AC15" s="91">
        <v>0</v>
      </c>
      <c r="AD15" s="92">
        <v>-19216</v>
      </c>
      <c r="AE15" s="91">
        <v>7944</v>
      </c>
      <c r="AF15" s="92">
        <v>-4912.0200000000004</v>
      </c>
      <c r="AG15" s="91">
        <v>8315.6</v>
      </c>
      <c r="AH15" s="92">
        <v>-950.7</v>
      </c>
      <c r="AI15" s="228">
        <v>10938.52</v>
      </c>
      <c r="AJ15" s="231">
        <v>-270</v>
      </c>
      <c r="AK15" s="228">
        <v>425.65</v>
      </c>
      <c r="AL15" s="238">
        <v>-6213.59</v>
      </c>
      <c r="AM15" s="246">
        <v>19782.78</v>
      </c>
      <c r="AN15" s="248">
        <v>0</v>
      </c>
      <c r="AO15" s="246">
        <v>13171.69</v>
      </c>
      <c r="AP15" s="248">
        <v>-3740.59</v>
      </c>
      <c r="AQ15" s="324">
        <v>11202.04</v>
      </c>
      <c r="AR15" s="323">
        <f>-1782-733.42</f>
        <v>-2515.42</v>
      </c>
      <c r="AS15" s="324">
        <v>12746.32</v>
      </c>
      <c r="AT15" s="248">
        <v>0</v>
      </c>
      <c r="AU15" s="324">
        <v>0</v>
      </c>
      <c r="AV15" s="248">
        <v>-1818.74</v>
      </c>
      <c r="AW15" s="324">
        <v>0</v>
      </c>
      <c r="AX15" s="248">
        <v>0</v>
      </c>
      <c r="AY15" s="324">
        <v>10969.62</v>
      </c>
      <c r="AZ15" s="248">
        <v>-271.02</v>
      </c>
      <c r="BA15" s="324">
        <v>0</v>
      </c>
      <c r="BB15" s="248">
        <v>-24006.27</v>
      </c>
      <c r="BC15" s="324">
        <v>0</v>
      </c>
      <c r="BD15" s="248">
        <v>-26200.95</v>
      </c>
      <c r="BE15" s="548">
        <v>0</v>
      </c>
      <c r="BF15" s="551">
        <v>-38567.773999999998</v>
      </c>
      <c r="BG15" s="548">
        <v>2.44</v>
      </c>
      <c r="BH15" s="551">
        <v>-26013.52</v>
      </c>
      <c r="BI15" s="548">
        <v>10774.772999999997</v>
      </c>
      <c r="BJ15" s="551">
        <v>-25977.988000000001</v>
      </c>
      <c r="BK15" s="548">
        <v>0</v>
      </c>
      <c r="BL15" s="551">
        <v>-53446.9</v>
      </c>
      <c r="BM15" s="548">
        <v>0</v>
      </c>
      <c r="BN15" s="551">
        <v>-45948.845000000001</v>
      </c>
    </row>
    <row r="16" spans="2:66" ht="15" customHeight="1">
      <c r="T16" s="379" t="s">
        <v>65</v>
      </c>
      <c r="U16" s="91">
        <v>13319.9</v>
      </c>
      <c r="V16" s="92">
        <v>-2808.3</v>
      </c>
      <c r="W16" s="91">
        <v>13155.55</v>
      </c>
      <c r="X16" s="92">
        <v>-462.36</v>
      </c>
      <c r="Y16" s="91">
        <v>539.79999999999995</v>
      </c>
      <c r="Z16" s="172">
        <v>-20480</v>
      </c>
      <c r="AA16" s="91">
        <v>5576.84</v>
      </c>
      <c r="AB16" s="92">
        <v>0</v>
      </c>
      <c r="AC16" s="91">
        <v>473</v>
      </c>
      <c r="AD16" s="92">
        <v>-23729</v>
      </c>
      <c r="AE16" s="91">
        <v>16582.2</v>
      </c>
      <c r="AF16" s="92">
        <v>-3909.4</v>
      </c>
      <c r="AG16" s="91">
        <v>4742.41</v>
      </c>
      <c r="AH16" s="92">
        <v>-463.1</v>
      </c>
      <c r="AI16" s="228">
        <v>3164.38</v>
      </c>
      <c r="AJ16" s="231">
        <v>-2660</v>
      </c>
      <c r="AK16" s="228">
        <v>896.14</v>
      </c>
      <c r="AL16" s="238">
        <v>-8324.0300000000007</v>
      </c>
      <c r="AM16" s="246">
        <v>13972.79</v>
      </c>
      <c r="AN16" s="247">
        <v>-390</v>
      </c>
      <c r="AO16" s="246">
        <v>942.77</v>
      </c>
      <c r="AP16" s="247">
        <v>-6041.61</v>
      </c>
      <c r="AQ16" s="324">
        <v>10294.185799999999</v>
      </c>
      <c r="AR16" s="326">
        <f>-1573-33.21</f>
        <v>-1606.21</v>
      </c>
      <c r="AS16" s="324">
        <v>9689.11</v>
      </c>
      <c r="AT16" s="480">
        <v>0</v>
      </c>
      <c r="AU16" s="324">
        <v>1642.48</v>
      </c>
      <c r="AV16" s="480">
        <v>-4425</v>
      </c>
      <c r="AW16" s="324">
        <v>266.60000000000002</v>
      </c>
      <c r="AX16" s="248">
        <v>0</v>
      </c>
      <c r="AY16" s="324">
        <v>0</v>
      </c>
      <c r="AZ16" s="480">
        <v>-4352.7700000000004</v>
      </c>
      <c r="BA16" s="324">
        <v>0</v>
      </c>
      <c r="BB16" s="480">
        <v>-33254.129999999997</v>
      </c>
      <c r="BC16" s="324">
        <v>0</v>
      </c>
      <c r="BD16" s="480">
        <v>-44390.55</v>
      </c>
      <c r="BE16" s="548">
        <v>21</v>
      </c>
      <c r="BF16" s="551">
        <v>-45701.253999999899</v>
      </c>
      <c r="BG16" s="548">
        <v>0</v>
      </c>
      <c r="BH16" s="551">
        <v>-20429.48</v>
      </c>
      <c r="BI16" s="548">
        <v>14734.901999999998</v>
      </c>
      <c r="BJ16" s="551">
        <v>-29086.237000000001</v>
      </c>
      <c r="BK16" s="548">
        <v>0</v>
      </c>
      <c r="BL16" s="551">
        <v>-32580.400000000001</v>
      </c>
      <c r="BM16" s="548">
        <v>0</v>
      </c>
      <c r="BN16" s="551">
        <v>-54426.357000000004</v>
      </c>
    </row>
    <row r="17" spans="20:66" ht="15" customHeight="1">
      <c r="T17" s="379" t="s">
        <v>53</v>
      </c>
      <c r="U17" s="91">
        <v>4574</v>
      </c>
      <c r="V17" s="92">
        <v>-1493.7</v>
      </c>
      <c r="W17" s="91">
        <v>13565.23</v>
      </c>
      <c r="X17" s="92">
        <v>-639.09</v>
      </c>
      <c r="Y17" s="91">
        <v>0</v>
      </c>
      <c r="Z17" s="172">
        <v>-33220</v>
      </c>
      <c r="AA17" s="91">
        <v>7719.5</v>
      </c>
      <c r="AB17" s="92">
        <v>-1486.93</v>
      </c>
      <c r="AC17" s="91">
        <v>366.9</v>
      </c>
      <c r="AD17" s="92">
        <v>-32364</v>
      </c>
      <c r="AE17" s="91">
        <v>16646.7</v>
      </c>
      <c r="AF17" s="92">
        <v>-1697.2</v>
      </c>
      <c r="AG17" s="91">
        <v>3404.7</v>
      </c>
      <c r="AH17" s="92">
        <v>-2974</v>
      </c>
      <c r="AI17" s="228">
        <v>2267.29</v>
      </c>
      <c r="AJ17" s="231">
        <v>-114</v>
      </c>
      <c r="AK17" s="228">
        <v>1684.93</v>
      </c>
      <c r="AL17" s="238">
        <v>-9048.57</v>
      </c>
      <c r="AM17" s="246">
        <v>13915.96</v>
      </c>
      <c r="AN17" s="248">
        <v>0</v>
      </c>
      <c r="AO17" s="246">
        <v>740.2</v>
      </c>
      <c r="AP17" s="248">
        <v>-1515.02</v>
      </c>
      <c r="AQ17" s="324">
        <v>9544.67</v>
      </c>
      <c r="AR17" s="323">
        <v>-836.7</v>
      </c>
      <c r="AS17" s="324">
        <v>5918.8</v>
      </c>
      <c r="AT17" s="248">
        <v>0</v>
      </c>
      <c r="AU17" s="324">
        <v>3576.44</v>
      </c>
      <c r="AV17" s="248">
        <v>-6694.78</v>
      </c>
      <c r="AW17" s="324">
        <v>0</v>
      </c>
      <c r="AX17" s="248">
        <v>-15539.5</v>
      </c>
      <c r="AY17" s="324">
        <v>0</v>
      </c>
      <c r="AZ17" s="248">
        <v>-40477.07</v>
      </c>
      <c r="BA17" s="324">
        <v>0</v>
      </c>
      <c r="BB17" s="248">
        <v>-12676.2</v>
      </c>
      <c r="BC17" s="324">
        <v>0</v>
      </c>
      <c r="BD17" s="248">
        <v>-57181.59</v>
      </c>
      <c r="BE17" s="548">
        <v>0</v>
      </c>
      <c r="BF17" s="551">
        <v>-41156.847999999998</v>
      </c>
      <c r="BG17" s="548">
        <v>0</v>
      </c>
      <c r="BH17" s="551">
        <v>-25370.5</v>
      </c>
      <c r="BI17" s="548">
        <v>8001.529000000005</v>
      </c>
      <c r="BJ17" s="551">
        <v>-42772.19</v>
      </c>
      <c r="BK17" s="548">
        <v>0</v>
      </c>
      <c r="BL17" s="551">
        <v>-41434.980000000003</v>
      </c>
      <c r="BM17" s="548">
        <v>0</v>
      </c>
      <c r="BN17" s="551">
        <v>-79084.831000000006</v>
      </c>
    </row>
    <row r="18" spans="20:66" ht="15" customHeight="1">
      <c r="T18" s="379" t="s">
        <v>54</v>
      </c>
      <c r="U18" s="91">
        <v>2427.6999999999998</v>
      </c>
      <c r="V18" s="92">
        <v>-12221</v>
      </c>
      <c r="W18" s="91">
        <v>10402.950000000001</v>
      </c>
      <c r="X18" s="92">
        <v>-654.99</v>
      </c>
      <c r="Y18" s="91">
        <v>8268.7999999999993</v>
      </c>
      <c r="Z18" s="172">
        <v>-15590</v>
      </c>
      <c r="AA18" s="91">
        <v>4466.3999999999996</v>
      </c>
      <c r="AB18" s="92">
        <v>-680</v>
      </c>
      <c r="AC18" s="91">
        <v>10</v>
      </c>
      <c r="AD18" s="92">
        <v>-21668</v>
      </c>
      <c r="AE18" s="91">
        <v>15524.5</v>
      </c>
      <c r="AF18" s="92">
        <v>-13068.8</v>
      </c>
      <c r="AG18" s="91">
        <v>5889.2</v>
      </c>
      <c r="AH18" s="92">
        <v>-2557.8000000000002</v>
      </c>
      <c r="AI18" s="228">
        <v>1420.5</v>
      </c>
      <c r="AJ18" s="231">
        <v>-8326.16</v>
      </c>
      <c r="AK18" s="228">
        <v>421.64</v>
      </c>
      <c r="AL18" s="238">
        <v>-9388.24</v>
      </c>
      <c r="AM18" s="246">
        <v>6205</v>
      </c>
      <c r="AN18" s="247">
        <v>-688.3</v>
      </c>
      <c r="AO18" s="246">
        <v>5561.91</v>
      </c>
      <c r="AP18" s="247">
        <v>0</v>
      </c>
      <c r="AQ18" s="324">
        <v>1605</v>
      </c>
      <c r="AR18" s="326">
        <f>-15371.1-91</f>
        <v>-15462.1</v>
      </c>
      <c r="AS18" s="324">
        <v>715</v>
      </c>
      <c r="AT18" s="480">
        <v>-80</v>
      </c>
      <c r="AU18" s="324">
        <v>1718</v>
      </c>
      <c r="AV18" s="480">
        <v>-11865.35</v>
      </c>
      <c r="AW18" s="324">
        <v>0</v>
      </c>
      <c r="AX18" s="480">
        <v>-7204.53</v>
      </c>
      <c r="AY18" s="324">
        <v>0</v>
      </c>
      <c r="AZ18" s="480">
        <v>-43846.22</v>
      </c>
      <c r="BA18" s="324">
        <v>0</v>
      </c>
      <c r="BB18" s="480">
        <v>-3070.62</v>
      </c>
      <c r="BC18" s="324">
        <v>0</v>
      </c>
      <c r="BD18" s="480">
        <v>-44927.11</v>
      </c>
      <c r="BE18" s="548">
        <v>0</v>
      </c>
      <c r="BF18" s="551">
        <v>-37086.987999999998</v>
      </c>
      <c r="BG18" s="548">
        <v>0</v>
      </c>
      <c r="BH18" s="551">
        <v>-27117.69</v>
      </c>
      <c r="BI18" s="548">
        <v>15331.252000000002</v>
      </c>
      <c r="BJ18" s="551">
        <v>-38504.940999999999</v>
      </c>
      <c r="BK18" s="548">
        <v>0</v>
      </c>
      <c r="BL18" s="551">
        <v>-43858.33</v>
      </c>
      <c r="BM18" s="548">
        <v>0</v>
      </c>
      <c r="BN18" s="551">
        <v>-43394.847999999904</v>
      </c>
    </row>
    <row r="19" spans="20:66" ht="15" customHeight="1" thickBot="1">
      <c r="T19" s="380" t="s">
        <v>55</v>
      </c>
      <c r="U19" s="93">
        <v>1249</v>
      </c>
      <c r="V19" s="94">
        <v>-8366.5</v>
      </c>
      <c r="W19" s="93">
        <v>3154.96</v>
      </c>
      <c r="X19" s="94">
        <v>-5591.21</v>
      </c>
      <c r="Y19" s="93">
        <v>11743.6</v>
      </c>
      <c r="Z19" s="173">
        <v>-2410</v>
      </c>
      <c r="AA19" s="93">
        <v>5018.2</v>
      </c>
      <c r="AB19" s="94">
        <v>-4430.6000000000004</v>
      </c>
      <c r="AC19" s="93">
        <v>16.8</v>
      </c>
      <c r="AD19" s="94">
        <v>-21549</v>
      </c>
      <c r="AE19" s="93">
        <v>14196.9</v>
      </c>
      <c r="AF19" s="94">
        <v>-10313.4</v>
      </c>
      <c r="AG19" s="93">
        <v>2911.7</v>
      </c>
      <c r="AH19" s="94">
        <v>-2112.6999999999998</v>
      </c>
      <c r="AI19" s="229">
        <v>1684.59</v>
      </c>
      <c r="AJ19" s="232">
        <v>-7717</v>
      </c>
      <c r="AK19" s="229">
        <v>1338.73</v>
      </c>
      <c r="AL19" s="239">
        <v>-9050.2199999999993</v>
      </c>
      <c r="AM19" s="249">
        <v>2105</v>
      </c>
      <c r="AN19" s="250">
        <v>-6582</v>
      </c>
      <c r="AO19" s="249">
        <v>8291.67</v>
      </c>
      <c r="AP19" s="250">
        <v>-93.67</v>
      </c>
      <c r="AQ19" s="325">
        <v>2116</v>
      </c>
      <c r="AR19" s="327">
        <f>-5130.3-20</f>
        <v>-5150.3</v>
      </c>
      <c r="AS19" s="325">
        <v>656</v>
      </c>
      <c r="AT19" s="481">
        <v>-701.9</v>
      </c>
      <c r="AU19" s="325">
        <v>0</v>
      </c>
      <c r="AV19" s="481">
        <v>-27515.31</v>
      </c>
      <c r="AW19" s="325">
        <v>7323.86</v>
      </c>
      <c r="AX19" s="481">
        <v>-191.25</v>
      </c>
      <c r="AY19" s="325">
        <v>0</v>
      </c>
      <c r="AZ19" s="481">
        <v>-9600.67</v>
      </c>
      <c r="BA19" s="325">
        <v>0</v>
      </c>
      <c r="BB19" s="481">
        <v>-3864.81</v>
      </c>
      <c r="BC19" s="325">
        <v>0</v>
      </c>
      <c r="BD19" s="481">
        <v>-42085.97</v>
      </c>
      <c r="BE19" s="549">
        <v>0</v>
      </c>
      <c r="BF19" s="552">
        <v>-26449.755000000001</v>
      </c>
      <c r="BG19" s="549">
        <v>0</v>
      </c>
      <c r="BH19" s="552">
        <v>-11842.5</v>
      </c>
      <c r="BI19" s="549">
        <v>6836.6910000000207</v>
      </c>
      <c r="BJ19" s="552">
        <v>-19030.113000000001</v>
      </c>
      <c r="BK19" s="549">
        <v>0</v>
      </c>
      <c r="BL19" s="552">
        <v>-28036.55</v>
      </c>
      <c r="BM19" s="549">
        <v>41961.407000000007</v>
      </c>
      <c r="BN19" s="552">
        <v>-21310.524000000001</v>
      </c>
    </row>
    <row r="20" spans="20:66" ht="15" customHeight="1" thickBot="1">
      <c r="T20" s="381" t="s">
        <v>40</v>
      </c>
      <c r="U20" s="95">
        <f t="shared" ref="U20:Z20" si="0">SUM(U8:U19)</f>
        <v>45259.399999999994</v>
      </c>
      <c r="V20" s="96">
        <f t="shared" si="0"/>
        <v>-105817.59999999999</v>
      </c>
      <c r="W20" s="95">
        <f t="shared" si="0"/>
        <v>135332.53</v>
      </c>
      <c r="X20" s="96">
        <f t="shared" si="0"/>
        <v>-17833.400000000001</v>
      </c>
      <c r="Y20" s="95">
        <f t="shared" si="0"/>
        <v>42931.199999999997</v>
      </c>
      <c r="Z20" s="96">
        <f t="shared" si="0"/>
        <v>-118010</v>
      </c>
      <c r="AA20" s="174">
        <f t="shared" ref="AA20:AF20" si="1">SUM(AA8:AA19)</f>
        <v>35132.089999999997</v>
      </c>
      <c r="AB20" s="175">
        <f t="shared" si="1"/>
        <v>-48605.09</v>
      </c>
      <c r="AC20" s="174">
        <f t="shared" si="1"/>
        <v>2293.7000000000003</v>
      </c>
      <c r="AD20" s="175">
        <f t="shared" si="1"/>
        <v>-180178.7</v>
      </c>
      <c r="AE20" s="174">
        <f t="shared" si="1"/>
        <v>78041.899999999994</v>
      </c>
      <c r="AF20" s="96">
        <f t="shared" si="1"/>
        <v>-207141.58</v>
      </c>
      <c r="AG20" s="174">
        <f t="shared" ref="AG20:AL20" si="2">SUM(AG8:AG19)</f>
        <v>54928.509999999995</v>
      </c>
      <c r="AH20" s="96">
        <f t="shared" si="2"/>
        <v>-106331.22</v>
      </c>
      <c r="AI20" s="174">
        <f t="shared" si="2"/>
        <v>34393.120000000003</v>
      </c>
      <c r="AJ20" s="96">
        <f t="shared" si="2"/>
        <v>-83404.23000000001</v>
      </c>
      <c r="AK20" s="95">
        <f t="shared" si="2"/>
        <v>8736.2900000000009</v>
      </c>
      <c r="AL20" s="240">
        <f t="shared" si="2"/>
        <v>-124963.56000000001</v>
      </c>
      <c r="AM20" s="95">
        <f t="shared" ref="AM20:AR20" si="3">SUM(AM8:AM19)</f>
        <v>105036.82999999999</v>
      </c>
      <c r="AN20" s="240">
        <f t="shared" si="3"/>
        <v>-31545.64</v>
      </c>
      <c r="AO20" s="95">
        <f t="shared" si="3"/>
        <v>64328.259999999995</v>
      </c>
      <c r="AP20" s="240">
        <f t="shared" si="3"/>
        <v>-95164.18</v>
      </c>
      <c r="AQ20" s="95">
        <f t="shared" si="3"/>
        <v>70747.964800000002</v>
      </c>
      <c r="AR20" s="96">
        <f t="shared" si="3"/>
        <v>-38851.500000000007</v>
      </c>
      <c r="AS20" s="95">
        <f t="shared" ref="AS20:AZ20" si="4">SUM(AS8:AS19)</f>
        <v>72203.850000000006</v>
      </c>
      <c r="AT20" s="96">
        <f t="shared" si="4"/>
        <v>-8134.41</v>
      </c>
      <c r="AU20" s="95">
        <f t="shared" si="4"/>
        <v>16861.47</v>
      </c>
      <c r="AV20" s="96">
        <f t="shared" si="4"/>
        <v>-58988.240000000005</v>
      </c>
      <c r="AW20" s="95">
        <f t="shared" si="4"/>
        <v>75350.899999999994</v>
      </c>
      <c r="AX20" s="96">
        <f t="shared" si="4"/>
        <v>-71413.03</v>
      </c>
      <c r="AY20" s="95">
        <f t="shared" si="4"/>
        <v>192857.84</v>
      </c>
      <c r="AZ20" s="240">
        <f t="shared" si="4"/>
        <v>-98547.75</v>
      </c>
      <c r="BA20" s="95">
        <f>SUM(BA8:BA19)</f>
        <v>17108.52</v>
      </c>
      <c r="BB20" s="240">
        <f>SUM(BB8:BB19)</f>
        <v>-139308.25</v>
      </c>
      <c r="BC20" s="95">
        <f>SUM(BC8:BC19)</f>
        <v>30019.469999999998</v>
      </c>
      <c r="BD20" s="240">
        <f>SUM(BD8:BD19)</f>
        <v>-397660.23</v>
      </c>
      <c r="BE20" s="95">
        <f t="shared" ref="BE20:BF20" si="5">SUM(BE8:BE19)</f>
        <v>6573.9029999999993</v>
      </c>
      <c r="BF20" s="553">
        <f t="shared" si="5"/>
        <v>-317623.80199999991</v>
      </c>
      <c r="BG20" s="95">
        <f t="shared" ref="BG20:BJ20" si="6">SUM(BG8:BG19)</f>
        <v>13249.11</v>
      </c>
      <c r="BH20" s="553">
        <f t="shared" si="6"/>
        <v>-325783.39</v>
      </c>
      <c r="BI20" s="95">
        <f t="shared" si="6"/>
        <v>77322.904000000024</v>
      </c>
      <c r="BJ20" s="553">
        <f t="shared" si="6"/>
        <v>-427344.03490000009</v>
      </c>
      <c r="BK20" s="95">
        <f t="shared" ref="BK20:BL20" si="7">SUM(BK8:BK19)</f>
        <v>86030.49</v>
      </c>
      <c r="BL20" s="553">
        <f t="shared" si="7"/>
        <v>-566743.64</v>
      </c>
      <c r="BM20" s="95">
        <f t="shared" ref="BM20:BN20" si="8">SUM(BM8:BM19)</f>
        <v>76176.149000000005</v>
      </c>
      <c r="BN20" s="553">
        <f t="shared" si="8"/>
        <v>-501756.25929999904</v>
      </c>
    </row>
    <row r="51" spans="20:32" ht="15" customHeight="1">
      <c r="T51" s="117"/>
      <c r="U51" s="118"/>
      <c r="V51" s="118"/>
      <c r="W51"/>
      <c r="X51"/>
      <c r="Y51"/>
      <c r="Z51"/>
      <c r="AA51"/>
      <c r="AB51"/>
      <c r="AC51"/>
      <c r="AD51"/>
      <c r="AE51"/>
      <c r="AF51"/>
    </row>
    <row r="52" spans="20:32" ht="15" customHeight="1">
      <c r="T52" s="115"/>
      <c r="U52" s="100"/>
      <c r="V52" s="100"/>
      <c r="W52"/>
      <c r="X52"/>
      <c r="Y52"/>
      <c r="Z52"/>
      <c r="AA52"/>
      <c r="AB52"/>
      <c r="AC52"/>
      <c r="AD52"/>
      <c r="AE52"/>
      <c r="AF52"/>
    </row>
    <row r="53" spans="20:32" ht="15" customHeight="1">
      <c r="T53" s="68"/>
      <c r="U53" s="100"/>
      <c r="V53" s="100"/>
      <c r="W53"/>
      <c r="X53"/>
      <c r="Y53"/>
      <c r="Z53"/>
      <c r="AA53"/>
      <c r="AB53"/>
      <c r="AC53"/>
      <c r="AD53"/>
      <c r="AE53"/>
      <c r="AF53"/>
    </row>
    <row r="54" spans="20:32" ht="15" customHeight="1">
      <c r="T54" s="68"/>
      <c r="U54" s="100"/>
      <c r="V54" s="100"/>
      <c r="W54"/>
      <c r="X54"/>
      <c r="Y54"/>
      <c r="Z54"/>
      <c r="AA54"/>
      <c r="AB54"/>
      <c r="AC54"/>
      <c r="AD54"/>
      <c r="AE54"/>
      <c r="AF54"/>
    </row>
    <row r="55" spans="20:32" ht="15" customHeight="1">
      <c r="T55" s="68"/>
      <c r="U55" s="100"/>
      <c r="V55" s="100"/>
      <c r="W55"/>
      <c r="X55"/>
      <c r="Y55"/>
      <c r="Z55"/>
      <c r="AA55"/>
      <c r="AB55"/>
      <c r="AC55"/>
      <c r="AD55"/>
      <c r="AE55"/>
      <c r="AF55"/>
    </row>
    <row r="56" spans="20:32" ht="15" customHeight="1">
      <c r="T56" s="68"/>
      <c r="U56" s="100"/>
      <c r="V56" s="100"/>
      <c r="W56"/>
      <c r="X56"/>
      <c r="Y56"/>
      <c r="Z56"/>
      <c r="AA56"/>
      <c r="AB56"/>
      <c r="AC56"/>
      <c r="AD56"/>
      <c r="AE56"/>
      <c r="AF56"/>
    </row>
    <row r="57" spans="20:32" ht="15" customHeight="1">
      <c r="T57" s="68"/>
      <c r="U57" s="100"/>
      <c r="V57" s="100"/>
      <c r="W57"/>
      <c r="X57"/>
      <c r="Y57"/>
      <c r="Z57"/>
      <c r="AA57"/>
      <c r="AB57"/>
      <c r="AC57"/>
      <c r="AD57"/>
      <c r="AE57"/>
      <c r="AF57"/>
    </row>
    <row r="58" spans="20:32" ht="15" customHeight="1">
      <c r="T58" s="68"/>
      <c r="U58" s="100"/>
      <c r="V58" s="100"/>
      <c r="W58"/>
      <c r="X58"/>
      <c r="Y58"/>
      <c r="Z58"/>
      <c r="AA58"/>
      <c r="AB58"/>
      <c r="AC58"/>
      <c r="AD58"/>
      <c r="AE58"/>
      <c r="AF58"/>
    </row>
    <row r="59" spans="20:32" ht="15" customHeight="1">
      <c r="T59" s="68"/>
      <c r="U59" s="100"/>
      <c r="V59" s="100"/>
      <c r="W59"/>
      <c r="X59"/>
      <c r="Y59"/>
      <c r="Z59"/>
      <c r="AA59"/>
      <c r="AB59"/>
      <c r="AC59"/>
      <c r="AD59"/>
      <c r="AE59"/>
      <c r="AF59"/>
    </row>
    <row r="60" spans="20:32" ht="15" customHeight="1">
      <c r="T60" s="68"/>
      <c r="U60" s="100"/>
      <c r="V60" s="100"/>
      <c r="W60"/>
      <c r="X60"/>
      <c r="Y60"/>
      <c r="Z60"/>
      <c r="AA60"/>
      <c r="AB60"/>
      <c r="AC60"/>
      <c r="AD60"/>
      <c r="AE60"/>
      <c r="AF60"/>
    </row>
    <row r="61" spans="20:32" ht="15" customHeight="1">
      <c r="T61" s="68"/>
      <c r="U61" s="100"/>
      <c r="V61" s="100"/>
      <c r="W61"/>
      <c r="X61"/>
      <c r="Y61"/>
      <c r="Z61"/>
      <c r="AA61"/>
      <c r="AB61"/>
      <c r="AC61"/>
      <c r="AD61"/>
      <c r="AE61"/>
      <c r="AF61"/>
    </row>
    <row r="62" spans="20:32" ht="15" customHeight="1">
      <c r="T62" s="68"/>
      <c r="U62" s="100"/>
      <c r="V62" s="100"/>
      <c r="W62"/>
      <c r="X62"/>
      <c r="Y62"/>
      <c r="Z62"/>
      <c r="AA62"/>
      <c r="AB62"/>
      <c r="AC62"/>
      <c r="AD62"/>
      <c r="AE62"/>
      <c r="AF62"/>
    </row>
    <row r="63" spans="20:32" ht="15" customHeight="1">
      <c r="T63" s="68"/>
      <c r="U63" s="100"/>
      <c r="V63" s="100"/>
      <c r="W63"/>
      <c r="X63"/>
      <c r="Y63"/>
      <c r="Z63"/>
      <c r="AA63"/>
      <c r="AB63"/>
      <c r="AC63"/>
      <c r="AD63"/>
      <c r="AE63"/>
      <c r="AF63"/>
    </row>
    <row r="64" spans="20:32" ht="15" customHeight="1">
      <c r="T64" s="68"/>
      <c r="U64" s="100"/>
      <c r="V64" s="100"/>
      <c r="W64"/>
      <c r="X64"/>
      <c r="Y64"/>
      <c r="Z64"/>
      <c r="AA64"/>
      <c r="AB64"/>
      <c r="AC64"/>
      <c r="AD64"/>
      <c r="AE64"/>
      <c r="AF64"/>
    </row>
    <row r="65" spans="20:32" ht="15" customHeight="1">
      <c r="T65" s="116"/>
      <c r="U65" s="100"/>
      <c r="V65" s="100"/>
      <c r="W65"/>
      <c r="X65"/>
      <c r="Y65"/>
      <c r="Z65"/>
      <c r="AA65"/>
      <c r="AB65"/>
      <c r="AC65"/>
      <c r="AD65"/>
      <c r="AE65"/>
      <c r="AF65"/>
    </row>
    <row r="73" spans="20:32" ht="15" customHeight="1">
      <c r="T73" s="117"/>
      <c r="U73" s="118"/>
      <c r="V73" s="118"/>
      <c r="W73"/>
      <c r="X73"/>
      <c r="Y73"/>
      <c r="Z73"/>
      <c r="AA73"/>
      <c r="AB73"/>
      <c r="AC73"/>
      <c r="AD73"/>
      <c r="AE73"/>
      <c r="AF73"/>
    </row>
    <row r="74" spans="20:32" ht="15" customHeight="1">
      <c r="T74" s="115"/>
      <c r="U74" s="100"/>
      <c r="V74" s="100"/>
      <c r="W74"/>
      <c r="X74"/>
      <c r="Y74"/>
      <c r="Z74"/>
      <c r="AA74"/>
      <c r="AB74"/>
      <c r="AC74"/>
      <c r="AD74"/>
      <c r="AE74"/>
      <c r="AF74"/>
    </row>
    <row r="75" spans="20:32" ht="15" customHeight="1">
      <c r="T75" s="68"/>
      <c r="U75" s="100"/>
      <c r="V75" s="100"/>
      <c r="W75"/>
      <c r="X75"/>
      <c r="Y75"/>
      <c r="Z75"/>
      <c r="AA75"/>
      <c r="AB75"/>
      <c r="AC75"/>
      <c r="AD75"/>
      <c r="AE75"/>
      <c r="AF75"/>
    </row>
    <row r="76" spans="20:32" ht="15" customHeight="1">
      <c r="T76" s="68"/>
      <c r="U76" s="100"/>
      <c r="V76" s="100"/>
      <c r="W76"/>
      <c r="X76"/>
      <c r="Y76"/>
      <c r="Z76"/>
      <c r="AA76"/>
      <c r="AB76"/>
      <c r="AC76"/>
      <c r="AD76"/>
      <c r="AE76"/>
      <c r="AF76"/>
    </row>
    <row r="77" spans="20:32" ht="15" customHeight="1">
      <c r="T77" s="68"/>
      <c r="U77" s="100"/>
      <c r="V77" s="100"/>
      <c r="W77"/>
      <c r="X77"/>
      <c r="Y77"/>
      <c r="Z77"/>
      <c r="AA77"/>
      <c r="AB77"/>
      <c r="AC77"/>
      <c r="AD77"/>
      <c r="AE77"/>
      <c r="AF77"/>
    </row>
    <row r="78" spans="20:32" ht="15" customHeight="1">
      <c r="T78" s="68"/>
      <c r="U78" s="100"/>
      <c r="V78" s="100"/>
      <c r="W78"/>
      <c r="X78"/>
      <c r="Y78"/>
      <c r="Z78"/>
      <c r="AA78"/>
      <c r="AB78"/>
      <c r="AC78"/>
      <c r="AD78"/>
      <c r="AE78"/>
      <c r="AF78"/>
    </row>
    <row r="79" spans="20:32" ht="15" customHeight="1">
      <c r="T79" s="68"/>
      <c r="U79" s="100"/>
      <c r="V79" s="100"/>
      <c r="W79"/>
      <c r="X79"/>
      <c r="Y79"/>
      <c r="Z79"/>
      <c r="AA79"/>
      <c r="AB79"/>
      <c r="AC79"/>
      <c r="AD79"/>
      <c r="AE79"/>
      <c r="AF79"/>
    </row>
    <row r="80" spans="20:32" ht="15" customHeight="1">
      <c r="T80" s="68"/>
      <c r="U80" s="100"/>
      <c r="V80" s="100"/>
      <c r="W80"/>
      <c r="X80"/>
      <c r="Y80"/>
      <c r="Z80"/>
      <c r="AA80"/>
      <c r="AB80"/>
      <c r="AC80"/>
      <c r="AD80"/>
      <c r="AE80"/>
      <c r="AF80"/>
    </row>
    <row r="81" spans="20:32" ht="15" customHeight="1">
      <c r="T81" s="68"/>
      <c r="U81" s="100"/>
      <c r="V81" s="100"/>
      <c r="W81"/>
      <c r="X81"/>
      <c r="Y81"/>
      <c r="Z81"/>
      <c r="AA81"/>
      <c r="AB81"/>
      <c r="AC81"/>
      <c r="AD81"/>
      <c r="AE81"/>
      <c r="AF81"/>
    </row>
    <row r="82" spans="20:32" ht="15" customHeight="1">
      <c r="T82" s="68"/>
      <c r="U82" s="100"/>
      <c r="V82" s="100"/>
      <c r="W82"/>
      <c r="X82"/>
      <c r="Y82"/>
      <c r="Z82"/>
      <c r="AA82"/>
      <c r="AB82"/>
      <c r="AC82"/>
      <c r="AD82"/>
      <c r="AE82"/>
      <c r="AF82"/>
    </row>
    <row r="83" spans="20:32" ht="15" customHeight="1">
      <c r="T83" s="68"/>
      <c r="U83" s="100"/>
      <c r="V83" s="100"/>
      <c r="W83"/>
      <c r="X83"/>
      <c r="Y83"/>
      <c r="Z83"/>
      <c r="AA83"/>
      <c r="AB83"/>
      <c r="AC83"/>
      <c r="AD83"/>
      <c r="AE83"/>
      <c r="AF83"/>
    </row>
    <row r="84" spans="20:32" ht="15" customHeight="1">
      <c r="T84" s="68"/>
      <c r="U84" s="100"/>
      <c r="V84" s="100"/>
      <c r="W84"/>
      <c r="X84"/>
      <c r="Y84"/>
      <c r="Z84"/>
      <c r="AA84"/>
      <c r="AB84"/>
      <c r="AC84"/>
      <c r="AD84"/>
      <c r="AE84"/>
      <c r="AF84"/>
    </row>
    <row r="85" spans="20:32" ht="15" customHeight="1">
      <c r="T85" s="68"/>
      <c r="U85" s="100"/>
      <c r="V85" s="100"/>
      <c r="W85"/>
      <c r="X85"/>
      <c r="Y85"/>
      <c r="Z85"/>
      <c r="AA85"/>
      <c r="AB85"/>
      <c r="AC85"/>
      <c r="AD85"/>
      <c r="AE85"/>
      <c r="AF85"/>
    </row>
    <row r="86" spans="20:32" ht="15" customHeight="1">
      <c r="T86" s="68"/>
      <c r="U86" s="100"/>
      <c r="V86" s="100"/>
      <c r="W86"/>
      <c r="X86"/>
      <c r="Y86"/>
      <c r="Z86"/>
      <c r="AA86"/>
      <c r="AB86"/>
      <c r="AC86"/>
      <c r="AD86"/>
      <c r="AE86"/>
      <c r="AF86"/>
    </row>
    <row r="87" spans="20:32" ht="15" customHeight="1">
      <c r="T87" s="116"/>
      <c r="U87" s="100"/>
      <c r="V87" s="100"/>
      <c r="W87"/>
      <c r="X87"/>
      <c r="Y87"/>
      <c r="Z87"/>
      <c r="AA87"/>
      <c r="AB87"/>
      <c r="AC87"/>
      <c r="AD87"/>
      <c r="AE87"/>
      <c r="AF87"/>
    </row>
  </sheetData>
  <mergeCells count="51">
    <mergeCell ref="BM6:BM7"/>
    <mergeCell ref="BN6:BN7"/>
    <mergeCell ref="T4:BN5"/>
    <mergeCell ref="BK6:BK7"/>
    <mergeCell ref="BL6:BL7"/>
    <mergeCell ref="BE6:BE7"/>
    <mergeCell ref="BF6:BF7"/>
    <mergeCell ref="BC6:BC7"/>
    <mergeCell ref="Y6:Y7"/>
    <mergeCell ref="AB6:AB7"/>
    <mergeCell ref="AA6:AA7"/>
    <mergeCell ref="AD6:AD7"/>
    <mergeCell ref="AF6:AF7"/>
    <mergeCell ref="AG6:AG7"/>
    <mergeCell ref="AR6:AR7"/>
    <mergeCell ref="AP6:AP7"/>
    <mergeCell ref="AE6:AE7"/>
    <mergeCell ref="AK6:AK7"/>
    <mergeCell ref="B1:I1"/>
    <mergeCell ref="B2:I2"/>
    <mergeCell ref="B3:I3"/>
    <mergeCell ref="AC6:AC7"/>
    <mergeCell ref="X6:X7"/>
    <mergeCell ref="U6:U7"/>
    <mergeCell ref="V6:V7"/>
    <mergeCell ref="T6:T7"/>
    <mergeCell ref="W6:W7"/>
    <mergeCell ref="Z6:Z7"/>
    <mergeCell ref="AX6:AX7"/>
    <mergeCell ref="AM6:AM7"/>
    <mergeCell ref="AI6:AI7"/>
    <mergeCell ref="AH6:AH7"/>
    <mergeCell ref="BD6:BD7"/>
    <mergeCell ref="AT6:AT7"/>
    <mergeCell ref="AY6:AY7"/>
    <mergeCell ref="AW6:AW7"/>
    <mergeCell ref="AJ6:AJ7"/>
    <mergeCell ref="AL6:AL7"/>
    <mergeCell ref="BI6:BI7"/>
    <mergeCell ref="BJ6:BJ7"/>
    <mergeCell ref="BG6:BG7"/>
    <mergeCell ref="BH6:BH7"/>
    <mergeCell ref="AO6:AO7"/>
    <mergeCell ref="AN6:AN7"/>
    <mergeCell ref="AQ6:AQ7"/>
    <mergeCell ref="BA6:BA7"/>
    <mergeCell ref="BB6:BB7"/>
    <mergeCell ref="AU6:AU7"/>
    <mergeCell ref="AV6:AV7"/>
    <mergeCell ref="AZ6:AZ7"/>
    <mergeCell ref="AS6:AS7"/>
  </mergeCells>
  <phoneticPr fontId="13" type="noConversion"/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2" tint="-9.9978637043366805E-2"/>
  </sheetPr>
  <dimension ref="A1:AZ61"/>
  <sheetViews>
    <sheetView workbookViewId="0">
      <selection activeCell="BB42" sqref="BB42"/>
    </sheetView>
  </sheetViews>
  <sheetFormatPr baseColWidth="10" defaultColWidth="10.6640625" defaultRowHeight="15" customHeight="1"/>
  <cols>
    <col min="1" max="1" width="2.6640625" style="84" customWidth="1"/>
    <col min="2" max="9" width="10.6640625" customWidth="1"/>
    <col min="10" max="10" width="2.6640625" style="84" customWidth="1"/>
    <col min="11" max="11" width="18.6640625" style="1" customWidth="1"/>
    <col min="12" max="12" width="10.6640625" style="84" customWidth="1"/>
    <col min="13" max="14" width="10.6640625" style="119" customWidth="1"/>
    <col min="15" max="15" width="10.6640625" style="97" customWidth="1"/>
    <col min="16" max="17" width="10.6640625" style="98" customWidth="1"/>
    <col min="18" max="18" width="10.6640625" style="97" customWidth="1"/>
    <col min="19" max="20" width="10.6640625" style="98" customWidth="1"/>
    <col min="21" max="21" width="10.6640625" style="97" customWidth="1"/>
    <col min="22" max="23" width="10.6640625" style="98" customWidth="1"/>
    <col min="24" max="24" width="1.6640625" customWidth="1"/>
    <col min="31" max="34" width="10.6640625" customWidth="1"/>
    <col min="36" max="36" width="10.6640625" customWidth="1"/>
    <col min="38" max="40" width="10.6640625" customWidth="1"/>
    <col min="42" max="42" width="10.6640625" customWidth="1"/>
    <col min="44" max="52" width="10.6640625" customWidth="1"/>
  </cols>
  <sheetData>
    <row r="1" spans="1:52" ht="15" customHeight="1" thickBot="1">
      <c r="B1" s="598" t="s">
        <v>268</v>
      </c>
      <c r="C1" s="598"/>
      <c r="D1" s="598"/>
      <c r="E1" s="598"/>
      <c r="F1" s="598"/>
      <c r="G1" s="598"/>
      <c r="H1" s="598"/>
      <c r="I1" s="598"/>
    </row>
    <row r="2" spans="1:52" ht="15" customHeight="1" thickBot="1">
      <c r="B2" s="599" t="s">
        <v>270</v>
      </c>
      <c r="C2" s="599"/>
      <c r="D2" s="599"/>
      <c r="E2" s="599"/>
      <c r="F2" s="599"/>
      <c r="G2" s="599"/>
      <c r="H2" s="599"/>
      <c r="I2" s="599"/>
      <c r="K2" s="633" t="s">
        <v>20</v>
      </c>
      <c r="L2" s="634"/>
      <c r="M2" s="634"/>
      <c r="N2" s="634"/>
      <c r="O2" s="634"/>
      <c r="P2" s="634"/>
      <c r="Q2" s="634"/>
      <c r="R2" s="634"/>
      <c r="S2" s="634"/>
      <c r="T2" s="634"/>
      <c r="U2" s="634"/>
      <c r="V2" s="634"/>
      <c r="W2" s="635"/>
      <c r="Y2" s="645" t="s">
        <v>278</v>
      </c>
      <c r="Z2" s="646"/>
      <c r="AA2" s="646"/>
      <c r="AB2" s="646"/>
      <c r="AC2" s="646"/>
      <c r="AD2" s="646"/>
      <c r="AE2" s="646"/>
      <c r="AF2" s="646"/>
      <c r="AG2" s="646"/>
      <c r="AH2" s="646"/>
      <c r="AI2" s="646"/>
      <c r="AJ2" s="646"/>
      <c r="AK2" s="646"/>
      <c r="AL2" s="646"/>
      <c r="AM2" s="646"/>
      <c r="AN2" s="646"/>
      <c r="AO2" s="646"/>
      <c r="AP2" s="646"/>
      <c r="AQ2" s="646"/>
      <c r="AR2" s="646"/>
      <c r="AS2" s="646"/>
      <c r="AT2" s="646"/>
      <c r="AU2" s="646"/>
      <c r="AV2" s="646"/>
      <c r="AW2" s="646"/>
      <c r="AX2" s="646"/>
      <c r="AY2" s="646"/>
      <c r="AZ2" s="647"/>
    </row>
    <row r="3" spans="1:52" ht="15" customHeight="1" thickBot="1">
      <c r="B3" s="599" t="s">
        <v>301</v>
      </c>
      <c r="C3" s="599"/>
      <c r="D3" s="599"/>
      <c r="E3" s="599"/>
      <c r="F3" s="599"/>
      <c r="G3" s="599"/>
      <c r="H3" s="599"/>
      <c r="I3" s="599"/>
    </row>
    <row r="4" spans="1:52" ht="15" customHeight="1">
      <c r="A4" s="1"/>
      <c r="J4" s="1"/>
      <c r="K4" s="636" t="s">
        <v>274</v>
      </c>
      <c r="L4" s="630" t="s">
        <v>275</v>
      </c>
      <c r="M4" s="631"/>
      <c r="N4" s="632"/>
      <c r="O4" s="630" t="s">
        <v>14</v>
      </c>
      <c r="P4" s="631"/>
      <c r="Q4" s="632"/>
      <c r="R4" s="630" t="s">
        <v>13</v>
      </c>
      <c r="S4" s="631"/>
      <c r="T4" s="632"/>
      <c r="U4" s="630" t="s">
        <v>300</v>
      </c>
      <c r="V4" s="631"/>
      <c r="W4" s="632"/>
      <c r="Y4" s="660" t="s">
        <v>41</v>
      </c>
      <c r="Z4" s="656" t="s">
        <v>275</v>
      </c>
      <c r="AA4" s="657"/>
      <c r="AB4" s="657"/>
      <c r="AC4" s="657"/>
      <c r="AD4" s="657"/>
      <c r="AE4" s="657"/>
      <c r="AF4" s="657"/>
      <c r="AG4" s="657"/>
      <c r="AH4" s="658"/>
      <c r="AI4" s="648" t="s">
        <v>14</v>
      </c>
      <c r="AJ4" s="649"/>
      <c r="AK4" s="649"/>
      <c r="AL4" s="649"/>
      <c r="AM4" s="649"/>
      <c r="AN4" s="649"/>
      <c r="AO4" s="648" t="s">
        <v>13</v>
      </c>
      <c r="AP4" s="649"/>
      <c r="AQ4" s="649"/>
      <c r="AR4" s="649"/>
      <c r="AS4" s="649"/>
      <c r="AT4" s="650"/>
      <c r="AU4" s="648" t="s">
        <v>300</v>
      </c>
      <c r="AV4" s="649"/>
      <c r="AW4" s="649"/>
      <c r="AX4" s="649"/>
      <c r="AY4" s="649"/>
      <c r="AZ4" s="650"/>
    </row>
    <row r="5" spans="1:52" ht="15" customHeight="1">
      <c r="A5" s="1"/>
      <c r="J5" s="1"/>
      <c r="K5" s="637"/>
      <c r="L5" s="639" t="s">
        <v>273</v>
      </c>
      <c r="M5" s="641" t="s">
        <v>271</v>
      </c>
      <c r="N5" s="643" t="s">
        <v>272</v>
      </c>
      <c r="O5" s="639" t="s">
        <v>273</v>
      </c>
      <c r="P5" s="641" t="s">
        <v>271</v>
      </c>
      <c r="Q5" s="643" t="s">
        <v>272</v>
      </c>
      <c r="R5" s="639" t="s">
        <v>273</v>
      </c>
      <c r="S5" s="641" t="s">
        <v>271</v>
      </c>
      <c r="T5" s="643" t="s">
        <v>272</v>
      </c>
      <c r="U5" s="639" t="s">
        <v>273</v>
      </c>
      <c r="V5" s="641" t="s">
        <v>271</v>
      </c>
      <c r="W5" s="643" t="s">
        <v>272</v>
      </c>
      <c r="Y5" s="661"/>
      <c r="Z5" s="666" t="s">
        <v>280</v>
      </c>
      <c r="AA5" s="651"/>
      <c r="AB5" s="628"/>
      <c r="AC5" s="618" t="s">
        <v>279</v>
      </c>
      <c r="AD5" s="651"/>
      <c r="AE5" s="652"/>
      <c r="AF5" s="618" t="s">
        <v>281</v>
      </c>
      <c r="AG5" s="651"/>
      <c r="AH5" s="652"/>
      <c r="AI5" s="664" t="s">
        <v>280</v>
      </c>
      <c r="AJ5" s="655"/>
      <c r="AK5" s="655" t="s">
        <v>279</v>
      </c>
      <c r="AL5" s="655"/>
      <c r="AM5" s="655" t="s">
        <v>281</v>
      </c>
      <c r="AN5" s="665"/>
      <c r="AO5" s="653" t="s">
        <v>280</v>
      </c>
      <c r="AP5" s="654"/>
      <c r="AQ5" s="654" t="s">
        <v>279</v>
      </c>
      <c r="AR5" s="654"/>
      <c r="AS5" s="654" t="s">
        <v>281</v>
      </c>
      <c r="AT5" s="663"/>
      <c r="AU5" s="664" t="s">
        <v>280</v>
      </c>
      <c r="AV5" s="655"/>
      <c r="AW5" s="655" t="s">
        <v>279</v>
      </c>
      <c r="AX5" s="655"/>
      <c r="AY5" s="655" t="s">
        <v>281</v>
      </c>
      <c r="AZ5" s="659"/>
    </row>
    <row r="6" spans="1:52" ht="15" customHeight="1" thickBot="1">
      <c r="K6" s="638"/>
      <c r="L6" s="640"/>
      <c r="M6" s="642"/>
      <c r="N6" s="644"/>
      <c r="O6" s="640"/>
      <c r="P6" s="642"/>
      <c r="Q6" s="644"/>
      <c r="R6" s="640"/>
      <c r="S6" s="642"/>
      <c r="T6" s="644"/>
      <c r="U6" s="640"/>
      <c r="V6" s="642"/>
      <c r="W6" s="644"/>
      <c r="Y6" s="662"/>
      <c r="Z6" s="432" t="s">
        <v>277</v>
      </c>
      <c r="AA6" s="433" t="s">
        <v>33</v>
      </c>
      <c r="AB6" s="434" t="s">
        <v>282</v>
      </c>
      <c r="AC6" s="435" t="s">
        <v>277</v>
      </c>
      <c r="AD6" s="433" t="s">
        <v>33</v>
      </c>
      <c r="AE6" s="434" t="s">
        <v>282</v>
      </c>
      <c r="AF6" s="435" t="s">
        <v>277</v>
      </c>
      <c r="AG6" s="433" t="s">
        <v>33</v>
      </c>
      <c r="AH6" s="434" t="s">
        <v>283</v>
      </c>
      <c r="AI6" s="436" t="s">
        <v>67</v>
      </c>
      <c r="AJ6" s="433" t="s">
        <v>33</v>
      </c>
      <c r="AK6" s="433" t="s">
        <v>67</v>
      </c>
      <c r="AL6" s="433" t="s">
        <v>33</v>
      </c>
      <c r="AM6" s="433" t="s">
        <v>67</v>
      </c>
      <c r="AN6" s="437" t="s">
        <v>33</v>
      </c>
      <c r="AO6" s="436" t="s">
        <v>67</v>
      </c>
      <c r="AP6" s="433" t="s">
        <v>33</v>
      </c>
      <c r="AQ6" s="433" t="s">
        <v>67</v>
      </c>
      <c r="AR6" s="433" t="s">
        <v>33</v>
      </c>
      <c r="AS6" s="433" t="s">
        <v>67</v>
      </c>
      <c r="AT6" s="438" t="s">
        <v>33</v>
      </c>
      <c r="AU6" s="436" t="s">
        <v>67</v>
      </c>
      <c r="AV6" s="433" t="s">
        <v>33</v>
      </c>
      <c r="AW6" s="433" t="s">
        <v>67</v>
      </c>
      <c r="AX6" s="433" t="s">
        <v>33</v>
      </c>
      <c r="AY6" s="433" t="s">
        <v>67</v>
      </c>
      <c r="AZ6" s="438" t="s">
        <v>33</v>
      </c>
    </row>
    <row r="7" spans="1:52" ht="15" customHeight="1">
      <c r="K7" s="445" t="s">
        <v>21</v>
      </c>
      <c r="L7" s="183">
        <v>11.23</v>
      </c>
      <c r="M7" s="184"/>
      <c r="N7" s="185"/>
      <c r="O7" s="183">
        <v>11.42</v>
      </c>
      <c r="P7" s="184"/>
      <c r="Q7" s="187"/>
      <c r="R7" s="183">
        <v>11.23</v>
      </c>
      <c r="S7" s="184"/>
      <c r="T7" s="185"/>
      <c r="U7" s="183">
        <v>10.97</v>
      </c>
      <c r="V7" s="184"/>
      <c r="W7" s="185"/>
      <c r="Y7" s="442">
        <v>1999</v>
      </c>
      <c r="Z7" s="427">
        <f t="shared" ref="Z7:Z18" si="0">(AI7+AU7+AO7)/1000</f>
        <v>2040.7333250000001</v>
      </c>
      <c r="AA7" s="428">
        <f t="shared" ref="AA7:AA18" si="1">AJ7+AV7+AP7</f>
        <v>206.15211787000001</v>
      </c>
      <c r="AB7" s="429">
        <f>Z7/AF7</f>
        <v>0.53524955540830343</v>
      </c>
      <c r="AC7" s="283">
        <f t="shared" ref="AC7:AC18" si="2">(AK7+AW7+AQ7)/1000</f>
        <v>1771.9430319999999</v>
      </c>
      <c r="AD7" s="305">
        <f t="shared" ref="AD7:AD18" si="3">AL7+AX7+AR7</f>
        <v>184.51150896000001</v>
      </c>
      <c r="AE7" s="317">
        <f>AC7/AF7</f>
        <v>0.46475044459169651</v>
      </c>
      <c r="AF7" s="283">
        <f>Z7+AC7</f>
        <v>3812.6763570000003</v>
      </c>
      <c r="AG7" s="306">
        <f>AA7+AD7</f>
        <v>390.66362683</v>
      </c>
      <c r="AH7" s="430"/>
      <c r="AI7" s="431">
        <f>1026523960/1000</f>
        <v>1026523.96</v>
      </c>
      <c r="AJ7" s="310">
        <f>105020648.06/1000000</f>
        <v>105.02064806</v>
      </c>
      <c r="AK7" s="312">
        <f>908727589/1000</f>
        <v>908727.58900000004</v>
      </c>
      <c r="AL7" s="310">
        <f>96903658.39/1000000</f>
        <v>96.903658390000004</v>
      </c>
      <c r="AM7" s="297">
        <f>AI7+AK7</f>
        <v>1935251.5490000001</v>
      </c>
      <c r="AN7" s="308">
        <f>AJ7+AL7</f>
        <v>201.92430645000002</v>
      </c>
      <c r="AO7" s="311">
        <f>162565742/1000</f>
        <v>162565.742</v>
      </c>
      <c r="AP7" s="310">
        <f>16677428.37/1000000</f>
        <v>16.677428369999998</v>
      </c>
      <c r="AQ7" s="313">
        <f>147353851/1000</f>
        <v>147353.851</v>
      </c>
      <c r="AR7" s="310">
        <f>15181472.31/1000000</f>
        <v>15.18147231</v>
      </c>
      <c r="AS7" s="297">
        <f>AO7+AQ7</f>
        <v>309919.59299999999</v>
      </c>
      <c r="AT7" s="309">
        <f>AP7+AR7</f>
        <v>31.858900679999998</v>
      </c>
      <c r="AU7" s="311">
        <f>851643623/1000</f>
        <v>851643.62300000002</v>
      </c>
      <c r="AV7" s="310">
        <f>84454041.44/1000000</f>
        <v>84.454041439999997</v>
      </c>
      <c r="AW7" s="313">
        <f>715861592/1000</f>
        <v>715861.59199999995</v>
      </c>
      <c r="AX7" s="310">
        <f>72426378.26/1000000</f>
        <v>72.426378260000007</v>
      </c>
      <c r="AY7" s="297">
        <f>AU7+AW7</f>
        <v>1567505.2149999999</v>
      </c>
      <c r="AZ7" s="309">
        <f>AV7+AX7</f>
        <v>156.8804197</v>
      </c>
    </row>
    <row r="8" spans="1:52" ht="15" customHeight="1">
      <c r="K8" s="446" t="s">
        <v>246</v>
      </c>
      <c r="L8" s="86">
        <f>(AA7*1000000)/(Z7*1000000)*100</f>
        <v>10.101864626040738</v>
      </c>
      <c r="M8" s="269">
        <f t="shared" ref="M8:M14" si="4">-(L7-L8)/L7*100</f>
        <v>-10.045729064641693</v>
      </c>
      <c r="N8" s="275">
        <f t="shared" ref="N8:N31" si="5">-($R$7-L8)/$R$7*100</f>
        <v>-10.045729064641693</v>
      </c>
      <c r="O8" s="86">
        <f>(AJ7*1000000)/(AI7*1000)*100</f>
        <v>10.230705970077892</v>
      </c>
      <c r="P8" s="269">
        <f t="shared" ref="P8:P14" si="6">-(O7-O8)/O7*100</f>
        <v>-10.414133361839822</v>
      </c>
      <c r="Q8" s="270">
        <f t="shared" ref="Q8:Q16" si="7">-($O$7-O8)/$O$7*100</f>
        <v>-10.414133361839822</v>
      </c>
      <c r="R8" s="86">
        <f>(AP7*1000000)/(AO7*1000)*100</f>
        <v>10.258882446462795</v>
      </c>
      <c r="S8" s="269">
        <f t="shared" ref="S8:S14" si="8">-(R7-R8)/R7*100</f>
        <v>-8.6475294170721728</v>
      </c>
      <c r="T8" s="275">
        <f t="shared" ref="T8:T26" si="9">-($R$7-R8)/$R$7*100</f>
        <v>-8.6475294170721728</v>
      </c>
      <c r="U8" s="86">
        <f>(AV7*1000000)/(AU7*1000)*100</f>
        <v>9.9165941197918173</v>
      </c>
      <c r="V8" s="269">
        <f t="shared" ref="V8:V14" si="10">-(U7-U8)/U7*100</f>
        <v>-9.6026060183061386</v>
      </c>
      <c r="W8" s="275">
        <f t="shared" ref="W8:W16" si="11">-($U$7-U8)/$U$7*100</f>
        <v>-9.6026060183061386</v>
      </c>
      <c r="Y8" s="443">
        <v>2000</v>
      </c>
      <c r="Z8" s="268">
        <f t="shared" si="0"/>
        <v>1824.630717</v>
      </c>
      <c r="AA8" s="293">
        <f t="shared" si="1"/>
        <v>210.38633400999998</v>
      </c>
      <c r="AB8" s="316">
        <f>Z8/AF8</f>
        <v>0.48761806839986027</v>
      </c>
      <c r="AC8" s="258">
        <f t="shared" si="2"/>
        <v>1917.2952600000001</v>
      </c>
      <c r="AD8" s="291">
        <f t="shared" si="3"/>
        <v>219.07601631</v>
      </c>
      <c r="AE8" s="286">
        <f>AC8/AF8</f>
        <v>0.51238193160013978</v>
      </c>
      <c r="AF8" s="258">
        <f>Z8+AC8</f>
        <v>3741.9259769999999</v>
      </c>
      <c r="AG8" s="307">
        <f t="shared" ref="AG8:AG17" si="12">AA8+AD8</f>
        <v>429.46235031999998</v>
      </c>
      <c r="AH8" s="284">
        <f>AF8/AF7-1</f>
        <v>-1.8556618337169928E-2</v>
      </c>
      <c r="AI8" s="314">
        <f>935471125/1000</f>
        <v>935471.125</v>
      </c>
      <c r="AJ8" s="282">
        <f>113195021.19/1000000</f>
        <v>113.19502118999999</v>
      </c>
      <c r="AK8" s="315">
        <f>968066379/1000</f>
        <v>968066.37899999996</v>
      </c>
      <c r="AL8" s="282">
        <f>116412461.78/1000000</f>
        <v>116.41246178</v>
      </c>
      <c r="AM8" s="299">
        <f>AI8+AK8</f>
        <v>1903537.504</v>
      </c>
      <c r="AN8" s="298">
        <f>AJ8+AL8</f>
        <v>229.60748296999998</v>
      </c>
      <c r="AO8" s="314">
        <f>153329592/1000</f>
        <v>153329.592</v>
      </c>
      <c r="AP8" s="282">
        <f>15536198.98/1000000</f>
        <v>15.53619898</v>
      </c>
      <c r="AQ8" s="315">
        <f>154217881/1000</f>
        <v>154217.88099999999</v>
      </c>
      <c r="AR8" s="282">
        <f>15391008.4/1000000</f>
        <v>15.3910084</v>
      </c>
      <c r="AS8" s="299">
        <f>AO8+AQ8</f>
        <v>307547.473</v>
      </c>
      <c r="AT8" s="266">
        <f>AP8+AR8</f>
        <v>30.927207379999999</v>
      </c>
      <c r="AU8" s="314">
        <f>735830000/1000</f>
        <v>735830</v>
      </c>
      <c r="AV8" s="282">
        <f>81655113.84/1000000</f>
        <v>81.655113839999999</v>
      </c>
      <c r="AW8" s="315">
        <f>795011000/1000</f>
        <v>795011</v>
      </c>
      <c r="AX8" s="282">
        <f>87272546.13/1000000</f>
        <v>87.272546129999995</v>
      </c>
      <c r="AY8" s="299">
        <f>AU8+AW8</f>
        <v>1530841</v>
      </c>
      <c r="AZ8" s="266">
        <f>AV8+AX8</f>
        <v>168.92765996999998</v>
      </c>
    </row>
    <row r="9" spans="1:52" ht="15" customHeight="1">
      <c r="K9" s="446" t="s">
        <v>247</v>
      </c>
      <c r="L9" s="86">
        <f>(AD7*1000000)/(AC7*1000000)*100</f>
        <v>10.412948138165651</v>
      </c>
      <c r="M9" s="269">
        <f>-(L8-L9)/L8*100</f>
        <v>3.0794662534181798</v>
      </c>
      <c r="N9" s="275">
        <f t="shared" si="5"/>
        <v>-7.2756176476789749</v>
      </c>
      <c r="O9" s="86">
        <f>(AL7*1000000)/(AK7*1000)*100</f>
        <v>10.663664178682705</v>
      </c>
      <c r="P9" s="269">
        <f t="shared" si="6"/>
        <v>4.2319485074744687</v>
      </c>
      <c r="Q9" s="270">
        <f t="shared" si="7"/>
        <v>-6.6229056157381354</v>
      </c>
      <c r="R9" s="86">
        <f>(AR7*1000000)/(AQ7*1000)*100</f>
        <v>10.302731965926021</v>
      </c>
      <c r="S9" s="269">
        <f t="shared" si="8"/>
        <v>0.42742978771869133</v>
      </c>
      <c r="T9" s="275">
        <f t="shared" si="9"/>
        <v>-8.2570617459837834</v>
      </c>
      <c r="U9" s="86">
        <f>(AX7*1000000)/(AW7*1000)*100</f>
        <v>10.117371719532063</v>
      </c>
      <c r="V9" s="269">
        <f t="shared" si="10"/>
        <v>2.0246628763350096</v>
      </c>
      <c r="W9" s="275">
        <f t="shared" si="11"/>
        <v>-7.7723635411844834</v>
      </c>
      <c r="Y9" s="443">
        <v>2001</v>
      </c>
      <c r="Z9" s="261">
        <f t="shared" si="0"/>
        <v>1892.3522209999999</v>
      </c>
      <c r="AA9" s="294">
        <f t="shared" si="1"/>
        <v>230.84382074000001</v>
      </c>
      <c r="AB9" s="288">
        <f>Z9/AF9</f>
        <v>0.49780891793407706</v>
      </c>
      <c r="AC9" s="258">
        <f t="shared" si="2"/>
        <v>1909.0104160000001</v>
      </c>
      <c r="AD9" s="291">
        <f t="shared" si="3"/>
        <v>228.67484818954003</v>
      </c>
      <c r="AE9" s="286">
        <f>AC9/AF9</f>
        <v>0.50219108206592289</v>
      </c>
      <c r="AF9" s="258">
        <f t="shared" ref="AF9:AF17" si="13">Z9+AC9</f>
        <v>3801.3626370000002</v>
      </c>
      <c r="AG9" s="291">
        <f t="shared" si="12"/>
        <v>459.51866892954001</v>
      </c>
      <c r="AH9" s="284">
        <f t="shared" ref="AH9:AH16" si="14">AF9/AF8-1</f>
        <v>1.5883975355293511E-2</v>
      </c>
      <c r="AI9" s="188">
        <f>975314074/1000</f>
        <v>975314.07400000002</v>
      </c>
      <c r="AJ9" s="281">
        <f>123145250.03/1000000</f>
        <v>123.14525003</v>
      </c>
      <c r="AK9" s="279">
        <f>979627436/1000</f>
        <v>979627.43599999999</v>
      </c>
      <c r="AL9" s="281">
        <f>119802320.52954/1000000</f>
        <v>119.80232052954</v>
      </c>
      <c r="AM9" s="299">
        <f t="shared" ref="AM9:AM17" si="15">AI9+AK9</f>
        <v>1954941.51</v>
      </c>
      <c r="AN9" s="300">
        <f t="shared" ref="AN9:AN17" si="16">AJ9+AL9</f>
        <v>242.94757055954</v>
      </c>
      <c r="AO9" s="188">
        <f>159178147/1000</f>
        <v>159178.147</v>
      </c>
      <c r="AP9" s="281">
        <f>16670821.38/1000000</f>
        <v>16.67082138</v>
      </c>
      <c r="AQ9" s="259">
        <f>157512980/1000</f>
        <v>157512.98000000001</v>
      </c>
      <c r="AR9" s="281">
        <f>17263985.13/1000000</f>
        <v>17.263985129999998</v>
      </c>
      <c r="AS9" s="299">
        <f t="shared" ref="AS9:AS17" si="17">AO9+AQ9</f>
        <v>316691.12699999998</v>
      </c>
      <c r="AT9" s="265">
        <f t="shared" ref="AT9:AT17" si="18">AP9+AR9</f>
        <v>33.934806510000001</v>
      </c>
      <c r="AU9" s="188">
        <f>757860000/1000</f>
        <v>757860</v>
      </c>
      <c r="AV9" s="281">
        <f>91027749.33/1000000</f>
        <v>91.027749329999992</v>
      </c>
      <c r="AW9" s="259">
        <f>771870000/1000</f>
        <v>771870</v>
      </c>
      <c r="AX9" s="281">
        <f>91608542.53/1000000</f>
        <v>91.608542530000008</v>
      </c>
      <c r="AY9" s="299">
        <f t="shared" ref="AY9:AY17" si="19">AU9+AW9</f>
        <v>1529730</v>
      </c>
      <c r="AZ9" s="265">
        <f t="shared" ref="AZ9:AZ17" si="20">AV9+AX9</f>
        <v>182.63629186</v>
      </c>
    </row>
    <row r="10" spans="1:52" ht="15" customHeight="1">
      <c r="K10" s="446" t="s">
        <v>248</v>
      </c>
      <c r="L10" s="86">
        <f>(AA8*1000000)/(Z8*1000000)*100</f>
        <v>11.530351432201609</v>
      </c>
      <c r="M10" s="269">
        <f>-(L9-L10)/L9*100</f>
        <v>10.730902326694963</v>
      </c>
      <c r="N10" s="275">
        <f t="shared" si="5"/>
        <v>2.6745452555797753</v>
      </c>
      <c r="O10" s="86">
        <f>(AJ8*1000000)/(AI8*1000)*100</f>
        <v>12.100322304443122</v>
      </c>
      <c r="P10" s="269">
        <f t="shared" si="6"/>
        <v>13.472462201429611</v>
      </c>
      <c r="Q10" s="270">
        <f t="shared" si="7"/>
        <v>5.9572881299747955</v>
      </c>
      <c r="R10" s="86">
        <f>(AP8*1000000)/(AO8*1000)*100</f>
        <v>10.132550916851066</v>
      </c>
      <c r="S10" s="269">
        <f t="shared" si="8"/>
        <v>-1.6518050710994987</v>
      </c>
      <c r="T10" s="275">
        <f t="shared" si="9"/>
        <v>-9.7724762524393061</v>
      </c>
      <c r="U10" s="86">
        <f>(AV8*1000000)/(AU8*1000)*100</f>
        <v>11.09700798282212</v>
      </c>
      <c r="V10" s="269">
        <f t="shared" si="10"/>
        <v>9.6827149426448731</v>
      </c>
      <c r="W10" s="275">
        <f t="shared" si="11"/>
        <v>1.1577755954614362</v>
      </c>
      <c r="Y10" s="443">
        <v>2002</v>
      </c>
      <c r="Z10" s="261">
        <f t="shared" si="0"/>
        <v>1934.602038</v>
      </c>
      <c r="AA10" s="294">
        <f t="shared" si="1"/>
        <v>219.95502734999999</v>
      </c>
      <c r="AB10" s="288">
        <f t="shared" ref="AB10:AB16" si="21">Z10/AF10</f>
        <v>0.48863858143066113</v>
      </c>
      <c r="AC10" s="258">
        <f t="shared" si="2"/>
        <v>2024.5655584999997</v>
      </c>
      <c r="AD10" s="291">
        <f t="shared" si="3"/>
        <v>235.00513814000001</v>
      </c>
      <c r="AE10" s="286">
        <f t="shared" ref="AE10:AE16" si="22">AC10/AF10</f>
        <v>0.51136141856933892</v>
      </c>
      <c r="AF10" s="258">
        <f t="shared" si="13"/>
        <v>3959.1675964999995</v>
      </c>
      <c r="AG10" s="291">
        <f t="shared" si="12"/>
        <v>454.96016549000001</v>
      </c>
      <c r="AH10" s="284">
        <f t="shared" si="14"/>
        <v>4.1512734924058048E-2</v>
      </c>
      <c r="AI10" s="188">
        <f>989009611/1000</f>
        <v>989009.61100000003</v>
      </c>
      <c r="AJ10" s="281">
        <f>117038511.76/1000000</f>
        <v>117.03851176000001</v>
      </c>
      <c r="AK10" s="279">
        <f>1036134334.5/1000</f>
        <v>1036134.3345</v>
      </c>
      <c r="AL10" s="281">
        <f>124511561.62/1000000</f>
        <v>124.51156162000001</v>
      </c>
      <c r="AM10" s="299">
        <f t="shared" si="15"/>
        <v>2025143.9454999999</v>
      </c>
      <c r="AN10" s="300">
        <f t="shared" si="16"/>
        <v>241.55007338000001</v>
      </c>
      <c r="AO10" s="188">
        <f>169772427/1000</f>
        <v>169772.427</v>
      </c>
      <c r="AP10" s="281">
        <f>20787371.59/1000000</f>
        <v>20.787371589999999</v>
      </c>
      <c r="AQ10" s="259">
        <f>172021224/1000</f>
        <v>172021.22399999999</v>
      </c>
      <c r="AR10" s="281">
        <f>20978631.52/1000000</f>
        <v>20.97863152</v>
      </c>
      <c r="AS10" s="299">
        <f t="shared" si="17"/>
        <v>341793.65099999995</v>
      </c>
      <c r="AT10" s="265">
        <f t="shared" si="18"/>
        <v>41.76600311</v>
      </c>
      <c r="AU10" s="188">
        <f>775820000/1000</f>
        <v>775820</v>
      </c>
      <c r="AV10" s="281">
        <f>82129144/1000000</f>
        <v>82.129143999999997</v>
      </c>
      <c r="AW10" s="259">
        <f>816410000/1000</f>
        <v>816410</v>
      </c>
      <c r="AX10" s="281">
        <f>89514945/1000000</f>
        <v>89.514944999999997</v>
      </c>
      <c r="AY10" s="299">
        <f t="shared" si="19"/>
        <v>1592230</v>
      </c>
      <c r="AZ10" s="265">
        <f t="shared" si="20"/>
        <v>171.64408900000001</v>
      </c>
    </row>
    <row r="11" spans="1:52" ht="15" customHeight="1">
      <c r="K11" s="446" t="s">
        <v>249</v>
      </c>
      <c r="L11" s="86">
        <f>(AD8*1000000)/(AC8*1000000)*100</f>
        <v>11.426305633802068</v>
      </c>
      <c r="M11" s="269">
        <f>-(L10-L11)/L10*100</f>
        <v>-0.902364503036442</v>
      </c>
      <c r="N11" s="275">
        <f t="shared" si="5"/>
        <v>1.748046605539336</v>
      </c>
      <c r="O11" s="86">
        <f>(AL8*1000000)/(AK8*1000)*100</f>
        <v>12.025256150332641</v>
      </c>
      <c r="P11" s="269">
        <f t="shared" si="6"/>
        <v>-0.62036491443634423</v>
      </c>
      <c r="Q11" s="270">
        <f t="shared" si="7"/>
        <v>5.2999662901282072</v>
      </c>
      <c r="R11" s="86">
        <f>(AR8*1000000)/(AQ8*1000)*100</f>
        <v>9.9800414194512239</v>
      </c>
      <c r="S11" s="269">
        <f t="shared" si="8"/>
        <v>-1.5051441502870673</v>
      </c>
      <c r="T11" s="275">
        <f t="shared" si="9"/>
        <v>-11.130530548074589</v>
      </c>
      <c r="U11" s="86">
        <f>(AX8*1000000)/(AW8*1000)*100</f>
        <v>10.977526868181698</v>
      </c>
      <c r="V11" s="269">
        <f t="shared" si="10"/>
        <v>-1.0766966629687538</v>
      </c>
      <c r="W11" s="275">
        <f t="shared" si="11"/>
        <v>6.8613201291682455E-2</v>
      </c>
      <c r="Y11" s="443">
        <v>2003</v>
      </c>
      <c r="Z11" s="261">
        <f t="shared" si="0"/>
        <v>2034.3665880000003</v>
      </c>
      <c r="AA11" s="294">
        <f t="shared" si="1"/>
        <v>248.74313169000001</v>
      </c>
      <c r="AB11" s="288">
        <f t="shared" si="21"/>
        <v>0.49279124425297571</v>
      </c>
      <c r="AC11" s="258">
        <f t="shared" si="2"/>
        <v>2093.8857130000001</v>
      </c>
      <c r="AD11" s="291">
        <f t="shared" si="3"/>
        <v>263.69081797000001</v>
      </c>
      <c r="AE11" s="286">
        <f t="shared" si="22"/>
        <v>0.50720875574702429</v>
      </c>
      <c r="AF11" s="258">
        <f t="shared" si="13"/>
        <v>4128.2523010000004</v>
      </c>
      <c r="AG11" s="291">
        <f t="shared" si="12"/>
        <v>512.43394966000005</v>
      </c>
      <c r="AH11" s="284">
        <f t="shared" si="14"/>
        <v>4.2707134865792584E-2</v>
      </c>
      <c r="AI11" s="188">
        <f>1036138998/1000</f>
        <v>1036138.998</v>
      </c>
      <c r="AJ11" s="281">
        <f>130225457/1000000</f>
        <v>130.22545700000001</v>
      </c>
      <c r="AK11" s="279">
        <f>1059991217/1000</f>
        <v>1059991.2169999999</v>
      </c>
      <c r="AL11" s="281">
        <f>135618236/1000000</f>
        <v>135.618236</v>
      </c>
      <c r="AM11" s="299">
        <f t="shared" si="15"/>
        <v>2096130.2149999999</v>
      </c>
      <c r="AN11" s="300">
        <f t="shared" si="16"/>
        <v>265.84369300000003</v>
      </c>
      <c r="AO11" s="188">
        <f>175017590/1000</f>
        <v>175017.59</v>
      </c>
      <c r="AP11" s="281">
        <f>20885505.69/1000000</f>
        <v>20.885505690000002</v>
      </c>
      <c r="AQ11" s="259">
        <f>176024496/1000</f>
        <v>176024.49600000001</v>
      </c>
      <c r="AR11" s="281">
        <f>20486407.97/1000000</f>
        <v>20.486407969999998</v>
      </c>
      <c r="AS11" s="299">
        <f t="shared" si="17"/>
        <v>351042.08600000001</v>
      </c>
      <c r="AT11" s="265">
        <f t="shared" si="18"/>
        <v>41.371913660000004</v>
      </c>
      <c r="AU11" s="188">
        <f>823210000/1000</f>
        <v>823210</v>
      </c>
      <c r="AV11" s="281">
        <f>97632169/1000000</f>
        <v>97.632169000000005</v>
      </c>
      <c r="AW11" s="259">
        <f>857870000/1000</f>
        <v>857870</v>
      </c>
      <c r="AX11" s="281">
        <f>107586174/1000000</f>
        <v>107.586174</v>
      </c>
      <c r="AY11" s="299">
        <f t="shared" si="19"/>
        <v>1681080</v>
      </c>
      <c r="AZ11" s="265">
        <f t="shared" si="20"/>
        <v>205.218343</v>
      </c>
    </row>
    <row r="12" spans="1:52" ht="15" customHeight="1">
      <c r="K12" s="446" t="s">
        <v>250</v>
      </c>
      <c r="L12" s="86">
        <f>(AA9*1000000)/(Z9*1000000)*100</f>
        <v>12.198776643071882</v>
      </c>
      <c r="M12" s="269">
        <f t="shared" si="4"/>
        <v>6.7604616402403837</v>
      </c>
      <c r="N12" s="275">
        <f t="shared" si="5"/>
        <v>8.6266842660007317</v>
      </c>
      <c r="O12" s="86">
        <f>(AJ9*1000000)/(AI9*1000)*100</f>
        <v>12.626214807395469</v>
      </c>
      <c r="P12" s="269">
        <f t="shared" si="6"/>
        <v>4.9974707361739146</v>
      </c>
      <c r="Q12" s="270">
        <f t="shared" si="7"/>
        <v>10.562301290678361</v>
      </c>
      <c r="R12" s="86">
        <f>(AP9*1000000)/(AO9*1000)*100</f>
        <v>10.473059081407699</v>
      </c>
      <c r="S12" s="269">
        <f t="shared" si="8"/>
        <v>4.9400362306671184</v>
      </c>
      <c r="T12" s="275">
        <f t="shared" si="9"/>
        <v>-6.7403465591478282</v>
      </c>
      <c r="U12" s="86">
        <f>(AV9*1000000)/(AU9*1000)*100</f>
        <v>12.011156325706594</v>
      </c>
      <c r="V12" s="269">
        <f t="shared" si="10"/>
        <v>9.4158681635374997</v>
      </c>
      <c r="W12" s="275">
        <f t="shared" si="11"/>
        <v>9.4909418934055889</v>
      </c>
      <c r="Y12" s="443">
        <v>2004</v>
      </c>
      <c r="Z12" s="261">
        <f t="shared" si="0"/>
        <v>2191.215823</v>
      </c>
      <c r="AA12" s="294">
        <f t="shared" si="1"/>
        <v>280.86822100000001</v>
      </c>
      <c r="AB12" s="288">
        <f t="shared" si="21"/>
        <v>0.49955267275701443</v>
      </c>
      <c r="AC12" s="258">
        <f t="shared" si="2"/>
        <v>2195.1400960000001</v>
      </c>
      <c r="AD12" s="291">
        <f t="shared" si="3"/>
        <v>280.57268439000001</v>
      </c>
      <c r="AE12" s="286">
        <f t="shared" si="22"/>
        <v>0.50044732724298568</v>
      </c>
      <c r="AF12" s="258">
        <f t="shared" si="13"/>
        <v>4386.3559189999996</v>
      </c>
      <c r="AG12" s="291">
        <f t="shared" si="12"/>
        <v>561.44090539000001</v>
      </c>
      <c r="AH12" s="284">
        <f t="shared" si="14"/>
        <v>6.2521279994800283E-2</v>
      </c>
      <c r="AI12" s="256">
        <f>1133444623/1000</f>
        <v>1133444.6229999999</v>
      </c>
      <c r="AJ12" s="281">
        <f>146620011/1000000</f>
        <v>146.62001100000001</v>
      </c>
      <c r="AK12" s="280">
        <f>1124975401/1000</f>
        <v>1124975.4010000001</v>
      </c>
      <c r="AL12" s="281">
        <f>146536530.49/1000000</f>
        <v>146.53653049000002</v>
      </c>
      <c r="AM12" s="301">
        <f t="shared" si="15"/>
        <v>2258420.0240000002</v>
      </c>
      <c r="AN12" s="300">
        <f t="shared" si="16"/>
        <v>293.15654149</v>
      </c>
      <c r="AO12" s="256">
        <f>184877200/1000</f>
        <v>184877.2</v>
      </c>
      <c r="AP12" s="281">
        <f>25447637/1000000</f>
        <v>25.447637</v>
      </c>
      <c r="AQ12" s="260">
        <f>182193695/1000</f>
        <v>182193.69500000001</v>
      </c>
      <c r="AR12" s="281">
        <f>24947412.08/1000000</f>
        <v>24.947412079999999</v>
      </c>
      <c r="AS12" s="301">
        <f t="shared" si="17"/>
        <v>367070.89500000002</v>
      </c>
      <c r="AT12" s="265">
        <f t="shared" si="18"/>
        <v>50.39504908</v>
      </c>
      <c r="AU12" s="256">
        <f>872894000/1000</f>
        <v>872894</v>
      </c>
      <c r="AV12" s="281">
        <f>108800573/1000000</f>
        <v>108.800573</v>
      </c>
      <c r="AW12" s="260">
        <f>887971000/1000</f>
        <v>887971</v>
      </c>
      <c r="AX12" s="281">
        <f>109088741.82/1000000</f>
        <v>109.08874182</v>
      </c>
      <c r="AY12" s="301">
        <f t="shared" si="19"/>
        <v>1760865</v>
      </c>
      <c r="AZ12" s="265">
        <f t="shared" si="20"/>
        <v>217.88931481999998</v>
      </c>
    </row>
    <row r="13" spans="1:52" ht="15" customHeight="1">
      <c r="K13" s="446" t="s">
        <v>251</v>
      </c>
      <c r="L13" s="86">
        <f>(AD9*1000000)/(AC9*1000000)*100</f>
        <v>11.978711392716678</v>
      </c>
      <c r="M13" s="269">
        <f t="shared" si="4"/>
        <v>-1.8039944233275869</v>
      </c>
      <c r="N13" s="275">
        <f t="shared" si="5"/>
        <v>6.6670649395964121</v>
      </c>
      <c r="O13" s="86">
        <f>(AL9*1000000)/(AK9*1000)*100</f>
        <v>12.22937579399726</v>
      </c>
      <c r="P13" s="269">
        <f t="shared" si="6"/>
        <v>-3.1429768893664853</v>
      </c>
      <c r="Q13" s="270">
        <f t="shared" si="7"/>
        <v>7.0873537127605966</v>
      </c>
      <c r="R13" s="86">
        <f>(AR9*1000000)/(AQ9*1000)*100</f>
        <v>10.960357127393564</v>
      </c>
      <c r="S13" s="269">
        <f t="shared" si="8"/>
        <v>4.6528721188152264</v>
      </c>
      <c r="T13" s="275">
        <f t="shared" si="9"/>
        <v>-2.4010941460947119</v>
      </c>
      <c r="U13" s="86">
        <f>(AX9*1000000)/(AW9*1000)*100</f>
        <v>11.868390082526851</v>
      </c>
      <c r="V13" s="269">
        <f t="shared" si="10"/>
        <v>-1.1886136464162977</v>
      </c>
      <c r="W13" s="275">
        <f t="shared" si="11"/>
        <v>8.1895176164708321</v>
      </c>
      <c r="Y13" s="443">
        <v>2005</v>
      </c>
      <c r="Z13" s="261">
        <f t="shared" si="0"/>
        <v>2267.7869759999999</v>
      </c>
      <c r="AA13" s="294">
        <f t="shared" si="1"/>
        <v>309.52391035838616</v>
      </c>
      <c r="AB13" s="288">
        <f t="shared" si="21"/>
        <v>0.49450799036783788</v>
      </c>
      <c r="AC13" s="258">
        <f t="shared" si="2"/>
        <v>2318.1590959999999</v>
      </c>
      <c r="AD13" s="291">
        <f t="shared" si="3"/>
        <v>343.10744779580733</v>
      </c>
      <c r="AE13" s="286">
        <f t="shared" si="22"/>
        <v>0.50549200963216212</v>
      </c>
      <c r="AF13" s="258">
        <f t="shared" si="13"/>
        <v>4585.9460719999997</v>
      </c>
      <c r="AG13" s="291">
        <f t="shared" si="12"/>
        <v>652.63135815419355</v>
      </c>
      <c r="AH13" s="284">
        <f t="shared" si="14"/>
        <v>4.5502498357566701E-2</v>
      </c>
      <c r="AI13" s="256">
        <f>1160144976/1000</f>
        <v>1160144.976</v>
      </c>
      <c r="AJ13" s="281">
        <f>161362609.14/1000000</f>
        <v>161.36260913999999</v>
      </c>
      <c r="AK13" s="280">
        <f>1173319096/1000</f>
        <v>1173319.0959999999</v>
      </c>
      <c r="AL13" s="281">
        <f>160850000.312789/1000000</f>
        <v>160.85000031278901</v>
      </c>
      <c r="AM13" s="301">
        <f t="shared" si="15"/>
        <v>2333464.0719999997</v>
      </c>
      <c r="AN13" s="300">
        <f t="shared" si="16"/>
        <v>322.21260945278902</v>
      </c>
      <c r="AO13" s="256">
        <f>189890000/1000</f>
        <v>189890</v>
      </c>
      <c r="AP13" s="281">
        <f>25278319.7183862/1000000</f>
        <v>25.2783197183862</v>
      </c>
      <c r="AQ13" s="260">
        <f>185180000/1000</f>
        <v>185180</v>
      </c>
      <c r="AR13" s="281">
        <f>28428668.9830183/1000000</f>
        <v>28.428668983018301</v>
      </c>
      <c r="AS13" s="301">
        <f t="shared" si="17"/>
        <v>375070</v>
      </c>
      <c r="AT13" s="265">
        <f t="shared" si="18"/>
        <v>53.706988701404498</v>
      </c>
      <c r="AU13" s="256">
        <f>917752000/1000</f>
        <v>917752</v>
      </c>
      <c r="AV13" s="281">
        <f>122882981.5/1000000</f>
        <v>122.8829815</v>
      </c>
      <c r="AW13" s="260">
        <f>959660000/1000</f>
        <v>959660</v>
      </c>
      <c r="AX13" s="281">
        <f>153828778.5/1000000</f>
        <v>153.8287785</v>
      </c>
      <c r="AY13" s="301">
        <f t="shared" si="19"/>
        <v>1877412</v>
      </c>
      <c r="AZ13" s="265">
        <f t="shared" si="20"/>
        <v>276.71176000000003</v>
      </c>
    </row>
    <row r="14" spans="1:52" ht="15" customHeight="1">
      <c r="K14" s="446" t="s">
        <v>252</v>
      </c>
      <c r="L14" s="86">
        <f>(AA10*1000000)/(Z10*1000000)*100</f>
        <v>11.369523190277958</v>
      </c>
      <c r="M14" s="269">
        <f t="shared" si="4"/>
        <v>-5.0855904484777854</v>
      </c>
      <c r="N14" s="275">
        <f t="shared" si="5"/>
        <v>1.2424148733567004</v>
      </c>
      <c r="O14" s="86">
        <f>(AJ10*1000000)/(AI10*1000)*100</f>
        <v>11.833910455294857</v>
      </c>
      <c r="P14" s="269">
        <f t="shared" si="6"/>
        <v>-3.2337328197610491</v>
      </c>
      <c r="Q14" s="270">
        <f t="shared" si="7"/>
        <v>3.6244348099374553</v>
      </c>
      <c r="R14" s="86">
        <f>(AP10*1000000)/(AO10*1000)*100</f>
        <v>12.244256595330407</v>
      </c>
      <c r="S14" s="269">
        <f t="shared" si="8"/>
        <v>11.71402950664767</v>
      </c>
      <c r="T14" s="275">
        <f t="shared" si="9"/>
        <v>9.0316704837970327</v>
      </c>
      <c r="U14" s="86">
        <f>(AV10*1000000)/(AU10*1000)*100</f>
        <v>10.586108117862389</v>
      </c>
      <c r="V14" s="269">
        <f t="shared" si="10"/>
        <v>-10.804177784418222</v>
      </c>
      <c r="W14" s="275">
        <f t="shared" si="11"/>
        <v>-3.4994702109171478</v>
      </c>
      <c r="Y14" s="443">
        <v>2006</v>
      </c>
      <c r="Z14" s="262">
        <f t="shared" si="0"/>
        <v>2322.4218609999994</v>
      </c>
      <c r="AA14" s="295">
        <f t="shared" si="1"/>
        <v>347.57428252008782</v>
      </c>
      <c r="AB14" s="289">
        <f t="shared" si="21"/>
        <v>0.48699492973935465</v>
      </c>
      <c r="AC14" s="258">
        <f t="shared" si="2"/>
        <v>2446.4611789999999</v>
      </c>
      <c r="AD14" s="291">
        <f t="shared" si="3"/>
        <v>393.26094816012409</v>
      </c>
      <c r="AE14" s="286">
        <f t="shared" si="22"/>
        <v>0.51300507026064546</v>
      </c>
      <c r="AF14" s="258">
        <f t="shared" si="13"/>
        <v>4768.8830399999988</v>
      </c>
      <c r="AG14" s="291">
        <f t="shared" si="12"/>
        <v>740.83523068021191</v>
      </c>
      <c r="AH14" s="284">
        <f t="shared" si="14"/>
        <v>3.9890780468819997E-2</v>
      </c>
      <c r="AI14" s="188">
        <f>1167213248/1000</f>
        <v>1167213.2479999999</v>
      </c>
      <c r="AJ14" s="282">
        <f>173327206/1000000</f>
        <v>173.32720599999999</v>
      </c>
      <c r="AK14" s="279">
        <f>1228581660/1000</f>
        <v>1228581.6599999999</v>
      </c>
      <c r="AL14" s="282">
        <f>205592052.2/1000000</f>
        <v>205.59205219999998</v>
      </c>
      <c r="AM14" s="299">
        <f t="shared" si="15"/>
        <v>2395794.9079999998</v>
      </c>
      <c r="AN14" s="298">
        <f t="shared" si="16"/>
        <v>378.91925819999994</v>
      </c>
      <c r="AO14" s="188">
        <f>187976613/1000</f>
        <v>187976.61300000001</v>
      </c>
      <c r="AP14" s="282">
        <f>28402843.0199998/1000000</f>
        <v>28.4028430199998</v>
      </c>
      <c r="AQ14" s="259">
        <f>197911519/1000</f>
        <v>197911.519</v>
      </c>
      <c r="AR14" s="282">
        <f>28629846.2600001/1000000</f>
        <v>28.6298462600001</v>
      </c>
      <c r="AS14" s="299">
        <f t="shared" si="17"/>
        <v>385888.13199999998</v>
      </c>
      <c r="AT14" s="266">
        <f t="shared" si="18"/>
        <v>57.0326892799999</v>
      </c>
      <c r="AU14" s="188">
        <f>967232000/1000</f>
        <v>967232</v>
      </c>
      <c r="AV14" s="282">
        <f>145844233.500088/1000000</f>
        <v>145.844233500088</v>
      </c>
      <c r="AW14" s="259">
        <f>1019968000/1000</f>
        <v>1019968</v>
      </c>
      <c r="AX14" s="282">
        <f>159039049.700124/1000000</f>
        <v>159.039049700124</v>
      </c>
      <c r="AY14" s="299">
        <f t="shared" si="19"/>
        <v>1987200</v>
      </c>
      <c r="AZ14" s="266">
        <f t="shared" si="20"/>
        <v>304.88328320021196</v>
      </c>
    </row>
    <row r="15" spans="1:52" ht="15" customHeight="1">
      <c r="A15" s="119"/>
      <c r="K15" s="446" t="s">
        <v>253</v>
      </c>
      <c r="L15" s="186">
        <f>(AD10*1000000)/(AC10*1000000)*100</f>
        <v>11.60768230761148</v>
      </c>
      <c r="M15" s="269">
        <f>-(L14-L15)/L14*100</f>
        <v>2.0947150847730458</v>
      </c>
      <c r="N15" s="275">
        <f t="shared" si="5"/>
        <v>3.363155009897413</v>
      </c>
      <c r="O15" s="186">
        <f>(AL10*1000000)/(AK10*1000)*100</f>
        <v>12.016932310238003</v>
      </c>
      <c r="P15" s="269">
        <f>-(O14-O15)/O14*100</f>
        <v>1.5465881344509926</v>
      </c>
      <c r="Q15" s="270">
        <f t="shared" si="7"/>
        <v>5.2270780230998524</v>
      </c>
      <c r="R15" s="186">
        <f>(AR10*1000000)/(AQ10*1000)*100</f>
        <v>12.19537393827636</v>
      </c>
      <c r="S15" s="269">
        <f>-(R14-R15)/R14*100</f>
        <v>-0.39922927679161729</v>
      </c>
      <c r="T15" s="275">
        <f t="shared" si="9"/>
        <v>8.5963841342507514</v>
      </c>
      <c r="U15" s="186">
        <f>(AX10*1000000)/(AW10*1000)*100</f>
        <v>10.964459646501146</v>
      </c>
      <c r="V15" s="269">
        <f>-(U14-U15)/U14*100</f>
        <v>3.574038016864268</v>
      </c>
      <c r="W15" s="275">
        <f t="shared" si="11"/>
        <v>-5.0504589779899314E-2</v>
      </c>
      <c r="Y15" s="443">
        <v>2007</v>
      </c>
      <c r="Z15" s="262">
        <f t="shared" si="0"/>
        <v>2538.6014070000001</v>
      </c>
      <c r="AA15" s="295">
        <f t="shared" si="1"/>
        <v>406.65355524990707</v>
      </c>
      <c r="AB15" s="289">
        <f t="shared" si="21"/>
        <v>0.49519414552943697</v>
      </c>
      <c r="AC15" s="258">
        <f t="shared" si="2"/>
        <v>2587.8756119999998</v>
      </c>
      <c r="AD15" s="291">
        <f t="shared" si="3"/>
        <v>421.41583271961667</v>
      </c>
      <c r="AE15" s="286">
        <f t="shared" si="22"/>
        <v>0.50480585447056303</v>
      </c>
      <c r="AF15" s="258">
        <f t="shared" si="13"/>
        <v>5126.4770189999999</v>
      </c>
      <c r="AG15" s="291">
        <f t="shared" si="12"/>
        <v>828.06938796952375</v>
      </c>
      <c r="AH15" s="284">
        <f t="shared" si="14"/>
        <v>7.4984849911521767E-2</v>
      </c>
      <c r="AI15" s="188">
        <f>1283003217/1000</f>
        <v>1283003.2169999999</v>
      </c>
      <c r="AJ15" s="282">
        <f>210265488.709996/1000000</f>
        <v>210.26548870999602</v>
      </c>
      <c r="AK15" s="279">
        <f>1306694698/1000</f>
        <v>1306694.6980000001</v>
      </c>
      <c r="AL15" s="282">
        <f>218752493.599979/1000000</f>
        <v>218.752493599979</v>
      </c>
      <c r="AM15" s="299">
        <f t="shared" si="15"/>
        <v>2589697.915</v>
      </c>
      <c r="AN15" s="298">
        <f t="shared" si="16"/>
        <v>429.01798230997503</v>
      </c>
      <c r="AO15" s="188">
        <f>198848190/1000</f>
        <v>198848.19</v>
      </c>
      <c r="AP15" s="282">
        <f>26709067.73/1000000</f>
        <v>26.709067730000001</v>
      </c>
      <c r="AQ15" s="259">
        <f>201893914/1000</f>
        <v>201893.91399999999</v>
      </c>
      <c r="AR15" s="282">
        <f>23574413.6199997/1000000</f>
        <v>23.574413619999699</v>
      </c>
      <c r="AS15" s="299">
        <f t="shared" si="17"/>
        <v>400742.10399999999</v>
      </c>
      <c r="AT15" s="266">
        <f t="shared" si="18"/>
        <v>50.283481349999704</v>
      </c>
      <c r="AU15" s="188">
        <f>1056750000/1000</f>
        <v>1056750</v>
      </c>
      <c r="AV15" s="282">
        <f>169678998.809911/1000000</f>
        <v>169.67899880991101</v>
      </c>
      <c r="AW15" s="259">
        <f>1079287000/1000</f>
        <v>1079287</v>
      </c>
      <c r="AX15" s="282">
        <f>179088925.499638/1000000</f>
        <v>179.08892549963798</v>
      </c>
      <c r="AY15" s="299">
        <f t="shared" si="19"/>
        <v>2136037</v>
      </c>
      <c r="AZ15" s="266">
        <f t="shared" si="20"/>
        <v>348.76792430954902</v>
      </c>
    </row>
    <row r="16" spans="1:52" ht="15" customHeight="1">
      <c r="A16" s="119"/>
      <c r="K16" s="446" t="s">
        <v>254</v>
      </c>
      <c r="L16" s="186">
        <f>(AA11*1000000)/(Z11*1000000)*100</f>
        <v>12.227055495172142</v>
      </c>
      <c r="M16" s="269">
        <f>-(L15-L16)/L15*100</f>
        <v>5.3358902418833551</v>
      </c>
      <c r="N16" s="275">
        <f t="shared" si="5"/>
        <v>8.8784995117732954</v>
      </c>
      <c r="O16" s="186">
        <f>(AJ11*1000000)/(AI11*1000)*100</f>
        <v>12.568338538687065</v>
      </c>
      <c r="P16" s="269">
        <f>-(O15-O16)/O15*100</f>
        <v>4.5885773025390497</v>
      </c>
      <c r="Q16" s="270">
        <f t="shared" si="7"/>
        <v>10.055503841392868</v>
      </c>
      <c r="R16" s="186">
        <f>(AP11*1000000)/(AO11*1000)*100</f>
        <v>11.933375205315077</v>
      </c>
      <c r="S16" s="269">
        <f>-(R15-R16)/R15*100</f>
        <v>-2.1483452191570329</v>
      </c>
      <c r="T16" s="275">
        <f t="shared" si="9"/>
        <v>6.2633589075251681</v>
      </c>
      <c r="U16" s="186">
        <f>(AV11*1000000)/(AU11*1000)*100</f>
        <v>11.859934767556274</v>
      </c>
      <c r="V16" s="269">
        <f>-(U15-U16)/U15*100</f>
        <v>8.1670702426350932</v>
      </c>
      <c r="W16" s="275">
        <f t="shared" si="11"/>
        <v>8.1124409075321147</v>
      </c>
      <c r="Y16" s="443">
        <v>2008</v>
      </c>
      <c r="Z16" s="262">
        <f t="shared" si="0"/>
        <v>2623.110193</v>
      </c>
      <c r="AA16" s="295">
        <f t="shared" si="1"/>
        <v>510.46591676060496</v>
      </c>
      <c r="AB16" s="289">
        <f t="shared" si="21"/>
        <v>0.49785950643730043</v>
      </c>
      <c r="AC16" s="258">
        <f t="shared" si="2"/>
        <v>2645.665755</v>
      </c>
      <c r="AD16" s="291">
        <f t="shared" si="3"/>
        <v>615.48153757986438</v>
      </c>
      <c r="AE16" s="286">
        <f t="shared" si="22"/>
        <v>0.50214049356269952</v>
      </c>
      <c r="AF16" s="258">
        <f t="shared" si="13"/>
        <v>5268.7759480000004</v>
      </c>
      <c r="AG16" s="291">
        <f t="shared" si="12"/>
        <v>1125.9474543404694</v>
      </c>
      <c r="AH16" s="284">
        <f t="shared" si="14"/>
        <v>2.77576449621455E-2</v>
      </c>
      <c r="AI16" s="188">
        <f>1321056511/1000</f>
        <v>1321056.5109999999</v>
      </c>
      <c r="AJ16" s="282">
        <f>254108375.990019/1000000</f>
        <v>254.108375990019</v>
      </c>
      <c r="AK16" s="279">
        <f>1325930607/1000</f>
        <v>1325930.6070000001</v>
      </c>
      <c r="AL16" s="282">
        <f>306377274.530011/1000000</f>
        <v>306.37727453001099</v>
      </c>
      <c r="AM16" s="299">
        <f t="shared" si="15"/>
        <v>2646987.1179999998</v>
      </c>
      <c r="AN16" s="298">
        <f t="shared" si="16"/>
        <v>560.48565052003005</v>
      </c>
      <c r="AO16" s="188">
        <f>209356682/1000</f>
        <v>209356.682</v>
      </c>
      <c r="AP16" s="282">
        <f>28477794.3099999/1000000</f>
        <v>28.477794309999901</v>
      </c>
      <c r="AQ16" s="259">
        <f>208295148/1000</f>
        <v>208295.14799999999</v>
      </c>
      <c r="AR16" s="282">
        <f>32049527.4800023/1000000</f>
        <v>32.049527480002297</v>
      </c>
      <c r="AS16" s="299">
        <f t="shared" si="17"/>
        <v>417651.82999999996</v>
      </c>
      <c r="AT16" s="266">
        <f t="shared" si="18"/>
        <v>60.527321790002198</v>
      </c>
      <c r="AU16" s="188">
        <f>1092697000/1000</f>
        <v>1092697</v>
      </c>
      <c r="AV16" s="282">
        <f>227879746.460586/1000000</f>
        <v>227.87974646058601</v>
      </c>
      <c r="AW16" s="259">
        <f>1111440000/1000</f>
        <v>1111440</v>
      </c>
      <c r="AX16" s="282">
        <f>277054735.569851/1000000</f>
        <v>277.054735569851</v>
      </c>
      <c r="AY16" s="299">
        <f t="shared" si="19"/>
        <v>2204137</v>
      </c>
      <c r="AZ16" s="266">
        <f t="shared" si="20"/>
        <v>504.93448203043704</v>
      </c>
    </row>
    <row r="17" spans="2:52" ht="15" customHeight="1">
      <c r="K17" s="446" t="s">
        <v>255</v>
      </c>
      <c r="L17" s="86">
        <f>(AD11*1000000)/(AC11*1000000)*100</f>
        <v>12.593372041886603</v>
      </c>
      <c r="M17" s="269">
        <f>-(L16-L17)/L16*100</f>
        <v>2.9959506347141533</v>
      </c>
      <c r="N17" s="275">
        <f t="shared" si="5"/>
        <v>12.140445608963514</v>
      </c>
      <c r="O17" s="86">
        <f>(AL11*1000000)/(AK11*1000)*100</f>
        <v>12.794279219013566</v>
      </c>
      <c r="P17" s="269">
        <f>-(O16-O17)/O16*100</f>
        <v>1.7976972821906745</v>
      </c>
      <c r="Q17" s="270">
        <f>-($O$7-O17)/$O$7*100</f>
        <v>12.033968642850841</v>
      </c>
      <c r="R17" s="86">
        <f>(AR11*1000000)/(AQ11*1000)*100</f>
        <v>11.638384676869064</v>
      </c>
      <c r="S17" s="269">
        <f>-(R16-R17)/R16*100</f>
        <v>-2.4719789947996023</v>
      </c>
      <c r="T17" s="275">
        <f t="shared" si="9"/>
        <v>3.6365509961626339</v>
      </c>
      <c r="U17" s="86">
        <f>(AX11*1000000)/(AW11*1000)*100</f>
        <v>12.541081282711833</v>
      </c>
      <c r="V17" s="269">
        <f>-(U16-U17)/U16*100</f>
        <v>5.7432568433587479</v>
      </c>
      <c r="W17" s="275">
        <f>-($U$7-U17)/$U$7*100</f>
        <v>14.321616068476134</v>
      </c>
      <c r="Y17" s="443">
        <v>2009</v>
      </c>
      <c r="Z17" s="262">
        <f t="shared" si="0"/>
        <v>2693.5865190000004</v>
      </c>
      <c r="AA17" s="295">
        <f t="shared" si="1"/>
        <v>455.94084825944361</v>
      </c>
      <c r="AB17" s="289">
        <f>Z17/AF17</f>
        <v>0.4871769228449756</v>
      </c>
      <c r="AC17" s="258">
        <f t="shared" si="2"/>
        <v>2835.3833330000002</v>
      </c>
      <c r="AD17" s="291">
        <f t="shared" si="3"/>
        <v>499.23987573063494</v>
      </c>
      <c r="AE17" s="286">
        <f>AC17/AF17</f>
        <v>0.5128230771550244</v>
      </c>
      <c r="AF17" s="258">
        <f t="shared" si="13"/>
        <v>5528.9698520000002</v>
      </c>
      <c r="AG17" s="291">
        <f t="shared" si="12"/>
        <v>955.1807239900786</v>
      </c>
      <c r="AH17" s="284">
        <f>AF17/AF16-1</f>
        <v>4.9384127654691357E-2</v>
      </c>
      <c r="AI17" s="439">
        <f>1353083098/1000</f>
        <v>1353083.098</v>
      </c>
      <c r="AJ17" s="282">
        <f>239950032.380001/1000000</f>
        <v>239.95003238000101</v>
      </c>
      <c r="AK17" s="440">
        <f>1431143462/1000</f>
        <v>1431143.4620000001</v>
      </c>
      <c r="AL17" s="282">
        <f>260055095.719998/1000000</f>
        <v>260.05509571999801</v>
      </c>
      <c r="AM17" s="441">
        <f t="shared" si="15"/>
        <v>2784226.56</v>
      </c>
      <c r="AN17" s="298">
        <f t="shared" si="16"/>
        <v>500.00512809999901</v>
      </c>
      <c r="AO17" s="314">
        <f>216875421/1000</f>
        <v>216875.421</v>
      </c>
      <c r="AP17" s="282">
        <f>32161882.5899996/1000000</f>
        <v>32.1618825899996</v>
      </c>
      <c r="AQ17" s="315">
        <f>223270871/1000</f>
        <v>223270.87100000001</v>
      </c>
      <c r="AR17" s="282">
        <f>32400779.9599999/1000000</f>
        <v>32.400779959999902</v>
      </c>
      <c r="AS17" s="441">
        <f t="shared" si="17"/>
        <v>440146.29200000002</v>
      </c>
      <c r="AT17" s="266">
        <f t="shared" si="18"/>
        <v>64.562662549999501</v>
      </c>
      <c r="AU17" s="314">
        <f>1123628000/1000</f>
        <v>1123628</v>
      </c>
      <c r="AV17" s="282">
        <f>183828933.289443/1000000</f>
        <v>183.828933289443</v>
      </c>
      <c r="AW17" s="315">
        <f>1180969000/1000</f>
        <v>1180969</v>
      </c>
      <c r="AX17" s="282">
        <f>206784000.050637/1000000</f>
        <v>206.78400005063702</v>
      </c>
      <c r="AY17" s="441">
        <f t="shared" si="19"/>
        <v>2304597</v>
      </c>
      <c r="AZ17" s="266">
        <f t="shared" si="20"/>
        <v>390.61293334008002</v>
      </c>
    </row>
    <row r="18" spans="2:52" ht="15" customHeight="1" thickBot="1">
      <c r="K18" s="446" t="s">
        <v>256</v>
      </c>
      <c r="L18" s="99">
        <f>(AA12*1000000)/(Z12*1000000)*100</f>
        <v>12.817916795410071</v>
      </c>
      <c r="M18" s="269">
        <f>-(L17-L18)/L17*100</f>
        <v>1.7830391477089134</v>
      </c>
      <c r="N18" s="275">
        <f t="shared" si="5"/>
        <v>14.139953654586554</v>
      </c>
      <c r="O18" s="99">
        <f>(AJ12*1000000)/(AI12*1000)*100</f>
        <v>12.935789541435764</v>
      </c>
      <c r="P18" s="269">
        <f>-(O17-O18)/O17*100</f>
        <v>1.1060437246976702</v>
      </c>
      <c r="Q18" s="270">
        <f>-($O$7-O18)/$O$7*100</f>
        <v>13.273113322554847</v>
      </c>
      <c r="R18" s="99">
        <f>(AP12*1000000)/(AO12*1000)*100</f>
        <v>13.764616188475376</v>
      </c>
      <c r="S18" s="269">
        <f>-(R17-R18)/R17*100</f>
        <v>18.26912901265527</v>
      </c>
      <c r="T18" s="275">
        <f t="shared" si="9"/>
        <v>22.570046201917858</v>
      </c>
      <c r="U18" s="99">
        <f>(AV12*1000000)/(AU12*1000)*100</f>
        <v>12.464351112506215</v>
      </c>
      <c r="V18" s="269">
        <f>-(U17-U18)/U17*100</f>
        <v>-0.61183057884643732</v>
      </c>
      <c r="W18" s="275">
        <f>-($U$7-U18)/$U$7*100</f>
        <v>13.622161463137775</v>
      </c>
      <c r="Y18" s="444">
        <v>2010</v>
      </c>
      <c r="Z18" s="263">
        <f t="shared" si="0"/>
        <v>2971.8816450000004</v>
      </c>
      <c r="AA18" s="296">
        <f t="shared" si="1"/>
        <v>530.06697799030121</v>
      </c>
      <c r="AB18" s="290">
        <f>Z18/AF18</f>
        <v>0.50427589958805308</v>
      </c>
      <c r="AC18" s="264">
        <f t="shared" si="2"/>
        <v>2921.4827759999998</v>
      </c>
      <c r="AD18" s="292">
        <f t="shared" si="3"/>
        <v>496.95975984000319</v>
      </c>
      <c r="AE18" s="287">
        <f>AC18/AF18</f>
        <v>0.49572410041194698</v>
      </c>
      <c r="AF18" s="264">
        <f>Z18+AC18</f>
        <v>5893.3644210000002</v>
      </c>
      <c r="AG18" s="292">
        <f>AA18+AD18</f>
        <v>1027.0267378303045</v>
      </c>
      <c r="AH18" s="285">
        <f>AF18/AF17-1</f>
        <v>6.5906412723192309E-2</v>
      </c>
      <c r="AI18" s="455">
        <v>1526045.0020000001</v>
      </c>
      <c r="AJ18" s="456">
        <v>268.49661508000304</v>
      </c>
      <c r="AK18" s="457">
        <v>1501908.442</v>
      </c>
      <c r="AL18" s="456">
        <v>251.89329863000302</v>
      </c>
      <c r="AM18" s="302">
        <f>AI18+AK18</f>
        <v>3027953.4440000001</v>
      </c>
      <c r="AN18" s="303">
        <f>AJ18+AL18</f>
        <v>520.38991371000611</v>
      </c>
      <c r="AO18" s="458">
        <v>252104.64300000001</v>
      </c>
      <c r="AP18" s="456">
        <v>36.9186708000002</v>
      </c>
      <c r="AQ18" s="459">
        <v>249041.334</v>
      </c>
      <c r="AR18" s="456">
        <v>34.332826240000202</v>
      </c>
      <c r="AS18" s="302">
        <f>AO18+AQ18</f>
        <v>501145.97700000001</v>
      </c>
      <c r="AT18" s="267">
        <f>AP18+AR18</f>
        <v>71.251497040000402</v>
      </c>
      <c r="AU18" s="458">
        <v>1193732</v>
      </c>
      <c r="AV18" s="456">
        <v>224.651692110298</v>
      </c>
      <c r="AW18" s="459">
        <v>1170533</v>
      </c>
      <c r="AX18" s="456">
        <v>210.73363497</v>
      </c>
      <c r="AY18" s="302">
        <f>AU18+AW18</f>
        <v>2364265</v>
      </c>
      <c r="AZ18" s="267">
        <f>AV18+AX18</f>
        <v>435.385327080298</v>
      </c>
    </row>
    <row r="19" spans="2:52" ht="15" customHeight="1">
      <c r="K19" s="447" t="s">
        <v>257</v>
      </c>
      <c r="L19" s="99">
        <f>(AD12*1000000)/(AC12*1000000)*100</f>
        <v>12.781538859467856</v>
      </c>
      <c r="M19" s="269">
        <f>-(L18-L19)/L18*100</f>
        <v>-0.28380536808633949</v>
      </c>
      <c r="N19" s="275">
        <f t="shared" si="5"/>
        <v>13.816018338983577</v>
      </c>
      <c r="O19" s="99">
        <f>(AL12*1000000)/(AK12*1000)*100</f>
        <v>13.025754195135509</v>
      </c>
      <c r="P19" s="269">
        <f>-(O18-O19)/O18*100</f>
        <v>0.69547091355785806</v>
      </c>
      <c r="Q19" s="270">
        <f>-($O$7-O19)/$O$7*100</f>
        <v>14.060894878594649</v>
      </c>
      <c r="R19" s="99">
        <f>(AR12*1000000)/(AQ12*1000)*100</f>
        <v>13.692796603087718</v>
      </c>
      <c r="S19" s="269">
        <f>-(R18-R19)/R18*100</f>
        <v>-0.52176961859488658</v>
      </c>
      <c r="T19" s="275">
        <f t="shared" si="9"/>
        <v>21.930512939338534</v>
      </c>
      <c r="U19" s="99">
        <f>(AX12*1000000)/(AW12*1000)*100</f>
        <v>12.285169427830413</v>
      </c>
      <c r="V19" s="269">
        <f>-(U18-U19)/U18*100</f>
        <v>-1.4375532513362737</v>
      </c>
      <c r="W19" s="275">
        <f>-($U$7-U19)/$U$7*100</f>
        <v>11.988782386785889</v>
      </c>
      <c r="Y19" s="74"/>
      <c r="Z19" s="74"/>
      <c r="AA19" s="74"/>
      <c r="AB19" s="74"/>
      <c r="AC19" s="98"/>
      <c r="AD19" s="98"/>
      <c r="AE19" s="97"/>
      <c r="AM19" s="450"/>
      <c r="AY19" s="450"/>
    </row>
    <row r="20" spans="2:52" ht="15" customHeight="1">
      <c r="K20" s="447" t="s">
        <v>258</v>
      </c>
      <c r="L20" s="99">
        <f>(AA13*1000000)/(Z13*1000000)*100</f>
        <v>13.648720697053079</v>
      </c>
      <c r="M20" s="271">
        <f>-(L17-L20)/L17*100</f>
        <v>8.3801911962602134</v>
      </c>
      <c r="N20" s="276">
        <f t="shared" si="5"/>
        <v>21.538029359332846</v>
      </c>
      <c r="O20" s="99">
        <f>(AJ13*1000000)/(AI13*1000)*100</f>
        <v>13.908831437287539</v>
      </c>
      <c r="P20" s="271">
        <f>-(O17-O20)/O17*100</f>
        <v>8.7113326135452631</v>
      </c>
      <c r="Q20" s="272">
        <f>-($O$7-O20)/$O$7*100</f>
        <v>21.793620291484579</v>
      </c>
      <c r="R20" s="99">
        <f>(AP13*1000000)/(AO13*1000)*100</f>
        <v>13.312085796190532</v>
      </c>
      <c r="S20" s="271">
        <f>-(R17-R20)/R17*100</f>
        <v>14.380871278880289</v>
      </c>
      <c r="T20" s="276">
        <f t="shared" si="9"/>
        <v>18.540389992791908</v>
      </c>
      <c r="U20" s="99">
        <f>(AV13*1000000)/(AU13*1000)*100</f>
        <v>13.389562921137738</v>
      </c>
      <c r="V20" s="271">
        <f>-(U17-U20)/U17*100</f>
        <v>6.7656178865179424</v>
      </c>
      <c r="W20" s="276">
        <f>-($U$7-U20)/$U$7*100</f>
        <v>22.056179773361325</v>
      </c>
      <c r="AI20" s="454"/>
      <c r="AJ20" s="452"/>
      <c r="AK20" s="454"/>
      <c r="AL20" s="452"/>
      <c r="AM20" s="450"/>
      <c r="AN20" s="449"/>
      <c r="AO20" s="454"/>
      <c r="AP20" s="452"/>
      <c r="AQ20" s="454"/>
      <c r="AR20" s="452"/>
      <c r="AU20" s="454"/>
      <c r="AV20" s="453"/>
      <c r="AW20" s="454"/>
      <c r="AX20" s="452"/>
      <c r="AY20" s="450"/>
    </row>
    <row r="21" spans="2:52" ht="15" customHeight="1">
      <c r="K21" s="447" t="s">
        <v>259</v>
      </c>
      <c r="L21" s="86">
        <f>(AD13*1000000)/(AC13*1000000)*100</f>
        <v>14.80085850828106</v>
      </c>
      <c r="M21" s="269">
        <f>-(L20-L21)/L20*100</f>
        <v>8.4413611854240713</v>
      </c>
      <c r="N21" s="275">
        <f t="shared" si="5"/>
        <v>31.797493395200881</v>
      </c>
      <c r="O21" s="86">
        <f>(AL13*1000000)/(AK13*1000)*100</f>
        <v>13.708973190766937</v>
      </c>
      <c r="P21" s="269">
        <f>-(O20-O21)/O20*100</f>
        <v>-1.4369161595043229</v>
      </c>
      <c r="Q21" s="270">
        <f>-($O$7-O21)/$O$7*100</f>
        <v>20.043548080270902</v>
      </c>
      <c r="R21" s="86">
        <f>(AR13*1000000)/(AQ13*1000)*100</f>
        <v>15.351911104340804</v>
      </c>
      <c r="S21" s="269">
        <f>-(R20-R21)/R20*100</f>
        <v>15.323108184398878</v>
      </c>
      <c r="T21" s="275">
        <f t="shared" si="9"/>
        <v>36.704462193595752</v>
      </c>
      <c r="U21" s="86">
        <f>(AX13*1000000)/(AW13*1000)*100</f>
        <v>16.029508211241481</v>
      </c>
      <c r="V21" s="269">
        <f>-(U20-U21)/U20*100</f>
        <v>19.716441123975251</v>
      </c>
      <c r="W21" s="275">
        <f>-($U$7-U21)/$U$7*100</f>
        <v>46.121314596549503</v>
      </c>
      <c r="AI21" s="84"/>
      <c r="AJ21" s="452"/>
      <c r="AK21" s="84"/>
      <c r="AL21" s="452"/>
      <c r="AO21" s="84"/>
      <c r="AP21" s="452"/>
      <c r="AQ21" s="84"/>
      <c r="AR21" s="452"/>
      <c r="AU21" s="84"/>
      <c r="AV21" s="453"/>
      <c r="AW21" s="84"/>
      <c r="AX21" s="452"/>
    </row>
    <row r="22" spans="2:52" ht="15" customHeight="1">
      <c r="K22" s="446" t="s">
        <v>260</v>
      </c>
      <c r="L22" s="86">
        <f>(AA14*1000000)/(Z14*1000000)*100</f>
        <v>14.966026989189107</v>
      </c>
      <c r="M22" s="269">
        <f t="shared" ref="M22:M29" si="23">-(L21-L22)/L21*100</f>
        <v>1.1159385167801963</v>
      </c>
      <c r="N22" s="275">
        <f t="shared" si="5"/>
        <v>33.268272388148766</v>
      </c>
      <c r="O22" s="86">
        <f>(AJ14*1000000)/(AI14*1000)*100</f>
        <v>14.849660616600541</v>
      </c>
      <c r="P22" s="269">
        <f t="shared" ref="P22:P29" si="24">-(O21-O22)/O21*100</f>
        <v>8.3207356959590779</v>
      </c>
      <c r="Q22" s="270">
        <f t="shared" ref="Q22:Q29" si="25">-($O$7-O22)/$O$7*100</f>
        <v>30.0320544360818</v>
      </c>
      <c r="R22" s="86">
        <f>(AP14*1000000)/(AO14*1000)*100</f>
        <v>15.109774863322917</v>
      </c>
      <c r="S22" s="269">
        <f t="shared" ref="S22:S29" si="26">-(R21-R22)/R21*100</f>
        <v>-1.5772384257059828</v>
      </c>
      <c r="T22" s="275">
        <f t="shared" si="9"/>
        <v>34.548306886223656</v>
      </c>
      <c r="U22" s="86">
        <f>(AV14*1000000)/(AU14*1000)*100</f>
        <v>15.078516167795112</v>
      </c>
      <c r="V22" s="269">
        <f t="shared" ref="V22:V29" si="27">-(U21-U22)/U21*100</f>
        <v>-5.9327587029740529</v>
      </c>
      <c r="W22" s="275">
        <f t="shared" ref="W22:W29" si="28">-($U$7-U22)/$U$7*100</f>
        <v>37.452289587922614</v>
      </c>
      <c r="AJ22" s="364"/>
      <c r="AP22" s="451"/>
    </row>
    <row r="23" spans="2:52" ht="15" customHeight="1">
      <c r="K23" s="447" t="s">
        <v>261</v>
      </c>
      <c r="L23" s="86">
        <f>(AD14*1000000)/(AC14*1000000)*100</f>
        <v>16.07468581704088</v>
      </c>
      <c r="M23" s="269">
        <f t="shared" si="23"/>
        <v>7.407836619916738</v>
      </c>
      <c r="N23" s="275">
        <f t="shared" si="5"/>
        <v>43.140568272848434</v>
      </c>
      <c r="O23" s="86">
        <f>(AL14*1000000)/(AK14*1000)*100</f>
        <v>16.734097446969866</v>
      </c>
      <c r="P23" s="269">
        <f t="shared" si="24"/>
        <v>12.690100326351562</v>
      </c>
      <c r="Q23" s="270">
        <f t="shared" si="25"/>
        <v>46.533252600436654</v>
      </c>
      <c r="R23" s="86">
        <f>(AR14*1000000)/(AQ14*1000)*100</f>
        <v>14.465982780921458</v>
      </c>
      <c r="S23" s="269">
        <f t="shared" si="26"/>
        <v>-4.260765552266327</v>
      </c>
      <c r="T23" s="275">
        <f t="shared" si="9"/>
        <v>28.815518975257852</v>
      </c>
      <c r="U23" s="86">
        <f>(AX14*1000000)/(AW14*1000)*100</f>
        <v>15.592552874219976</v>
      </c>
      <c r="V23" s="269">
        <f t="shared" si="27"/>
        <v>3.40906691815439</v>
      </c>
      <c r="W23" s="275">
        <f t="shared" si="28"/>
        <v>42.138130120510255</v>
      </c>
    </row>
    <row r="24" spans="2:52" ht="15" customHeight="1">
      <c r="K24" s="447" t="s">
        <v>262</v>
      </c>
      <c r="L24" s="86">
        <f>(AA15*1000000)/(Z15*1000000)*100</f>
        <v>16.018802878175002</v>
      </c>
      <c r="M24" s="269">
        <f t="shared" si="23"/>
        <v>-0.34764560565554598</v>
      </c>
      <c r="N24" s="275">
        <f t="shared" si="5"/>
        <v>42.642946377337502</v>
      </c>
      <c r="O24" s="86">
        <f>(AJ15*1000000)/(AI15*1000)*100</f>
        <v>16.388539477060096</v>
      </c>
      <c r="P24" s="269">
        <f t="shared" si="24"/>
        <v>-2.0649931733984364</v>
      </c>
      <c r="Q24" s="270">
        <f t="shared" si="25"/>
        <v>43.507350937478947</v>
      </c>
      <c r="R24" s="86">
        <f>(AP15*1000000)/(AO15*1000)*100</f>
        <v>13.431888784102084</v>
      </c>
      <c r="S24" s="269">
        <f t="shared" si="26"/>
        <v>-7.1484531156997839</v>
      </c>
      <c r="T24" s="275">
        <f t="shared" si="9"/>
        <v>19.607201995566189</v>
      </c>
      <c r="U24" s="86">
        <f>(AV15*1000000)/(AU15*1000)*100</f>
        <v>16.056683114257016</v>
      </c>
      <c r="V24" s="269">
        <f t="shared" si="27"/>
        <v>2.9766148223515856</v>
      </c>
      <c r="W24" s="275">
        <f t="shared" si="28"/>
        <v>46.369034769890746</v>
      </c>
    </row>
    <row r="25" spans="2:52" ht="15" customHeight="1">
      <c r="B25" s="598" t="s">
        <v>269</v>
      </c>
      <c r="C25" s="598"/>
      <c r="D25" s="598"/>
      <c r="E25" s="598"/>
      <c r="F25" s="598"/>
      <c r="G25" s="598"/>
      <c r="H25" s="598"/>
      <c r="I25" s="598"/>
      <c r="K25" s="447" t="s">
        <v>263</v>
      </c>
      <c r="L25" s="86">
        <f>(AD15*1000000)/(AC15*1000000)*100</f>
        <v>16.284238344590754</v>
      </c>
      <c r="M25" s="269">
        <f t="shared" si="23"/>
        <v>1.6570243633960802</v>
      </c>
      <c r="N25" s="275">
        <f t="shared" si="5"/>
        <v>45.006574751475995</v>
      </c>
      <c r="O25" s="86">
        <f>(AL15*1000000)/(AK15*1000)*100</f>
        <v>16.740903130225988</v>
      </c>
      <c r="P25" s="269">
        <f t="shared" si="24"/>
        <v>2.1500613502448682</v>
      </c>
      <c r="Q25" s="270">
        <f t="shared" si="25"/>
        <v>46.59284702474595</v>
      </c>
      <c r="R25" s="86">
        <f>(AR15*1000000)/(AQ15*1000)*100</f>
        <v>11.676634105968988</v>
      </c>
      <c r="S25" s="269">
        <f t="shared" si="26"/>
        <v>-13.067817239602267</v>
      </c>
      <c r="T25" s="275">
        <f t="shared" si="9"/>
        <v>3.9771514333836846</v>
      </c>
      <c r="U25" s="86">
        <f>(AX15*1000000)/(AW15*1000)*100</f>
        <v>16.593262542737751</v>
      </c>
      <c r="V25" s="269">
        <f t="shared" si="27"/>
        <v>3.3417825130041745</v>
      </c>
      <c r="W25" s="275">
        <f t="shared" si="28"/>
        <v>51.260369578283957</v>
      </c>
    </row>
    <row r="26" spans="2:52" ht="15" customHeight="1">
      <c r="B26" s="599" t="s">
        <v>34</v>
      </c>
      <c r="C26" s="599"/>
      <c r="D26" s="599"/>
      <c r="E26" s="599"/>
      <c r="F26" s="599"/>
      <c r="G26" s="599"/>
      <c r="H26" s="599"/>
      <c r="I26" s="599"/>
      <c r="K26" s="446" t="s">
        <v>264</v>
      </c>
      <c r="L26" s="86">
        <f>(AA16*1000000)/(Z16*1000000)*100</f>
        <v>19.460330645766547</v>
      </c>
      <c r="M26" s="269">
        <f t="shared" si="23"/>
        <v>19.50408876341961</v>
      </c>
      <c r="N26" s="275">
        <f t="shared" si="5"/>
        <v>73.288785803798277</v>
      </c>
      <c r="O26" s="86">
        <f>(AJ16*1000000)/(AI16*1000)*100</f>
        <v>19.235238907203644</v>
      </c>
      <c r="P26" s="269">
        <f t="shared" si="24"/>
        <v>14.899648827631593</v>
      </c>
      <c r="Q26" s="270">
        <f t="shared" si="25"/>
        <v>68.434666437860287</v>
      </c>
      <c r="R26" s="86">
        <f>(AP16*1000000)/(AO16*1000)*100</f>
        <v>13.602524666492327</v>
      </c>
      <c r="S26" s="269">
        <f t="shared" si="26"/>
        <v>16.493542086232203</v>
      </c>
      <c r="T26" s="275">
        <f t="shared" si="9"/>
        <v>21.126666665114215</v>
      </c>
      <c r="U26" s="86">
        <f>(AV16*1000000)/(AU16*1000)*100</f>
        <v>20.854797483711039</v>
      </c>
      <c r="V26" s="269">
        <f t="shared" si="27"/>
        <v>25.68232094199222</v>
      </c>
      <c r="W26" s="275">
        <f t="shared" si="28"/>
        <v>90.107543151422391</v>
      </c>
    </row>
    <row r="27" spans="2:52" ht="15" customHeight="1">
      <c r="B27" s="599" t="s">
        <v>301</v>
      </c>
      <c r="C27" s="599"/>
      <c r="D27" s="599"/>
      <c r="E27" s="599"/>
      <c r="F27" s="599"/>
      <c r="G27" s="599"/>
      <c r="H27" s="599"/>
      <c r="I27" s="599"/>
      <c r="K27" s="447" t="s">
        <v>265</v>
      </c>
      <c r="L27" s="86">
        <f>(AD16*1000000)/(AC16*1000000)*100</f>
        <v>23.263767783843292</v>
      </c>
      <c r="M27" s="269">
        <f t="shared" si="23"/>
        <v>19.544565851989546</v>
      </c>
      <c r="N27" s="275">
        <f t="shared" si="5"/>
        <v>107.15732665933476</v>
      </c>
      <c r="O27" s="86">
        <f>(AL16*1000000)/(AK16*1000)*100</f>
        <v>23.106584380249622</v>
      </c>
      <c r="P27" s="269">
        <f t="shared" si="24"/>
        <v>20.126318636968676</v>
      </c>
      <c r="Q27" s="270">
        <f t="shared" si="25"/>
        <v>102.33436410025938</v>
      </c>
      <c r="R27" s="86">
        <f>(AR16*1000000)/(AQ16*1000)*100</f>
        <v>15.386593392949457</v>
      </c>
      <c r="S27" s="269">
        <f t="shared" si="26"/>
        <v>13.115717634770421</v>
      </c>
      <c r="T27" s="277" t="s">
        <v>276</v>
      </c>
      <c r="U27" s="86">
        <f>(AX16*1000000)/(AW16*1000)*100</f>
        <v>24.927547647183022</v>
      </c>
      <c r="V27" s="269">
        <f t="shared" si="27"/>
        <v>19.529080379001847</v>
      </c>
      <c r="W27" s="275">
        <f t="shared" si="28"/>
        <v>127.23379806000932</v>
      </c>
    </row>
    <row r="28" spans="2:52" ht="15" customHeight="1">
      <c r="K28" s="447" t="s">
        <v>266</v>
      </c>
      <c r="L28" s="318">
        <f>(AA17*1000000)/(Z17*1000000)*100</f>
        <v>16.926905634674494</v>
      </c>
      <c r="M28" s="269">
        <f t="shared" si="23"/>
        <v>-27.239191037531569</v>
      </c>
      <c r="N28" s="275">
        <f t="shared" si="5"/>
        <v>50.729346702355237</v>
      </c>
      <c r="O28" s="318">
        <f>(AJ17*1000000)/(AI17*1000)*100</f>
        <v>17.733576949905927</v>
      </c>
      <c r="P28" s="269">
        <f t="shared" si="24"/>
        <v>-23.253144393492782</v>
      </c>
      <c r="Q28" s="270">
        <f t="shared" si="25"/>
        <v>55.285262258370651</v>
      </c>
      <c r="R28" s="318">
        <f>(AP17*1000000)/(AO17*1000)*100</f>
        <v>14.82965770934439</v>
      </c>
      <c r="S28" s="269">
        <f t="shared" si="26"/>
        <v>-3.6196165673700689</v>
      </c>
      <c r="T28" s="275">
        <f>-($R$7-R28)/$R$7*100</f>
        <v>32.053942202532411</v>
      </c>
      <c r="U28" s="318">
        <f>(AV17*1000000)/(AU17*1000)*100</f>
        <v>16.360301922828818</v>
      </c>
      <c r="V28" s="269">
        <f t="shared" si="27"/>
        <v>-34.368586295019519</v>
      </c>
      <c r="W28" s="275">
        <f t="shared" si="28"/>
        <v>49.13675408230462</v>
      </c>
    </row>
    <row r="29" spans="2:52" ht="15" customHeight="1">
      <c r="K29" s="447" t="s">
        <v>267</v>
      </c>
      <c r="L29" s="318">
        <f>(AD17*1000000)/(AC17*1000000)*100</f>
        <v>17.607491372336249</v>
      </c>
      <c r="M29" s="269">
        <f t="shared" si="23"/>
        <v>4.0207333363257227</v>
      </c>
      <c r="N29" s="275">
        <f t="shared" si="5"/>
        <v>56.789771792842814</v>
      </c>
      <c r="O29" s="318">
        <f>(AL17*1000000)/(AK17*1000)*100</f>
        <v>18.171140953023336</v>
      </c>
      <c r="P29" s="269">
        <f t="shared" si="24"/>
        <v>2.4674322859592621</v>
      </c>
      <c r="Q29" s="270">
        <f t="shared" si="25"/>
        <v>59.116820954670189</v>
      </c>
      <c r="R29" s="318">
        <f>(AR17*1000000)/(AQ17*1000)*100</f>
        <v>14.511870632689877</v>
      </c>
      <c r="S29" s="269">
        <f t="shared" si="26"/>
        <v>-2.1429157899866467</v>
      </c>
      <c r="T29" s="275">
        <f>-($R$7-R29)/$R$7*100</f>
        <v>29.224137423774504</v>
      </c>
      <c r="U29" s="318">
        <f>(AX17*1000000)/(AW17*1000)*100</f>
        <v>17.509689081647107</v>
      </c>
      <c r="V29" s="269">
        <f t="shared" si="27"/>
        <v>7.0254642257821578</v>
      </c>
      <c r="W29" s="275">
        <f t="shared" si="28"/>
        <v>59.614303387849645</v>
      </c>
    </row>
    <row r="30" spans="2:52" ht="15" customHeight="1">
      <c r="K30" s="447" t="s">
        <v>302</v>
      </c>
      <c r="L30" s="318">
        <f>(AA18*1000000)/(Z18*1000000)*100</f>
        <v>17.836072943285096</v>
      </c>
      <c r="M30" s="269">
        <f>-(L29-L30)/L29*100</f>
        <v>1.2982063493041378</v>
      </c>
      <c r="N30" s="275">
        <f t="shared" si="5"/>
        <v>58.825226565316967</v>
      </c>
      <c r="O30" s="318">
        <f>(AJ18*1000000)/(AI18*1000)*100</f>
        <v>17.594278984441313</v>
      </c>
      <c r="P30" s="269">
        <f>-(O29-O30)/O29*100</f>
        <v>-3.1746051063790999</v>
      </c>
      <c r="Q30" s="270">
        <f>-($O$7-O30)/$O$7*100</f>
        <v>54.065490231535144</v>
      </c>
      <c r="R30" s="318">
        <f>(AP18*1000000)/(AO18*1000)*100</f>
        <v>14.644185192575051</v>
      </c>
      <c r="S30" s="269">
        <f>-(R29-R30)/R29*100</f>
        <v>0.91176777435651934</v>
      </c>
      <c r="T30" s="275">
        <f>-($R$7-R30)/$R$7*100</f>
        <v>30.402361465494664</v>
      </c>
      <c r="U30" s="318">
        <f>(AV18*1000000)/(AU18*1000)*100</f>
        <v>18.819273682057446</v>
      </c>
      <c r="V30" s="269">
        <f>-(U29-U30)/U29*100</f>
        <v>7.479199626582683</v>
      </c>
      <c r="W30" s="275">
        <f>-($U$7-U30)/$U$7*100</f>
        <v>71.552175770806244</v>
      </c>
    </row>
    <row r="31" spans="2:52" ht="15" customHeight="1" thickBot="1">
      <c r="K31" s="448" t="s">
        <v>303</v>
      </c>
      <c r="L31" s="319">
        <f>(AD18*1000000)/(AC18*1000000)*100</f>
        <v>17.01053190943075</v>
      </c>
      <c r="M31" s="273">
        <f>-(L30-L31)/L30*100</f>
        <v>-4.6284910163767021</v>
      </c>
      <c r="N31" s="278">
        <f t="shared" si="5"/>
        <v>51.474015222001327</v>
      </c>
      <c r="O31" s="319">
        <f>(AL18*1000000)/(AK18*1000)*100</f>
        <v>16.771548223976428</v>
      </c>
      <c r="P31" s="273">
        <f>-(O30-O31)/O30*100</f>
        <v>-4.67612660451974</v>
      </c>
      <c r="Q31" s="274">
        <f>-($O$7-O31)/$O$7*100</f>
        <v>46.86119285443457</v>
      </c>
      <c r="R31" s="319">
        <f>(AR18*1000000)/(AQ18*1000)*100</f>
        <v>13.785995155326386</v>
      </c>
      <c r="S31" s="273">
        <f>-(R30-R31)/R30*100</f>
        <v>-5.8602785062004523</v>
      </c>
      <c r="T31" s="278">
        <f>-($R$7-R31)/$R$7*100</f>
        <v>22.760419904954457</v>
      </c>
      <c r="U31" s="319">
        <f>(AX18*1000000)/(AW18*1000)*100</f>
        <v>18.003220325270625</v>
      </c>
      <c r="V31" s="273">
        <f>-(U30-U31)/U30*100</f>
        <v>-4.3362638249150773</v>
      </c>
      <c r="W31" s="278">
        <f>-($U$7-U31)/$U$7*100</f>
        <v>64.113220832002042</v>
      </c>
    </row>
    <row r="41" spans="12:21" ht="15" customHeight="1">
      <c r="L41" s="304"/>
      <c r="O41" s="98"/>
      <c r="R41" s="98"/>
      <c r="U41" s="98"/>
    </row>
    <row r="42" spans="12:21" ht="15" customHeight="1">
      <c r="L42" s="304"/>
      <c r="O42" s="98"/>
      <c r="R42" s="98"/>
      <c r="U42" s="98"/>
    </row>
    <row r="49" spans="11:21" ht="15" customHeight="1">
      <c r="K49" s="74"/>
      <c r="O49" s="257"/>
      <c r="T49" s="97"/>
    </row>
    <row r="50" spans="11:21" ht="15" customHeight="1">
      <c r="S50" s="222"/>
      <c r="T50" s="222"/>
      <c r="U50" s="222"/>
    </row>
    <row r="51" spans="11:21" ht="15" customHeight="1">
      <c r="O51" s="222"/>
    </row>
    <row r="52" spans="11:21" ht="15" customHeight="1">
      <c r="O52" s="222"/>
    </row>
    <row r="53" spans="11:21" ht="15" customHeight="1">
      <c r="O53" s="222"/>
    </row>
    <row r="54" spans="11:21" ht="15" customHeight="1">
      <c r="O54" s="222"/>
    </row>
    <row r="55" spans="11:21" ht="15" customHeight="1">
      <c r="O55" s="222"/>
    </row>
    <row r="56" spans="11:21" ht="15" customHeight="1">
      <c r="O56" s="222"/>
    </row>
    <row r="57" spans="11:21" ht="15" customHeight="1">
      <c r="O57" s="222"/>
    </row>
    <row r="58" spans="11:21" ht="15" customHeight="1">
      <c r="O58" s="222"/>
    </row>
    <row r="59" spans="11:21" ht="15" customHeight="1">
      <c r="O59" s="222"/>
    </row>
    <row r="60" spans="11:21" ht="15" customHeight="1">
      <c r="O60" s="222"/>
    </row>
    <row r="61" spans="11:21" ht="15" customHeight="1">
      <c r="O61" s="222"/>
    </row>
  </sheetData>
  <mergeCells count="42">
    <mergeCell ref="AI4:AN4"/>
    <mergeCell ref="Z5:AB5"/>
    <mergeCell ref="B27:I27"/>
    <mergeCell ref="O4:Q4"/>
    <mergeCell ref="B26:I26"/>
    <mergeCell ref="B25:I25"/>
    <mergeCell ref="L5:L6"/>
    <mergeCell ref="M5:M6"/>
    <mergeCell ref="N5:N6"/>
    <mergeCell ref="O5:O6"/>
    <mergeCell ref="T5:T6"/>
    <mergeCell ref="W5:W6"/>
    <mergeCell ref="Y2:AZ2"/>
    <mergeCell ref="AU4:AZ4"/>
    <mergeCell ref="AF5:AH5"/>
    <mergeCell ref="AO5:AP5"/>
    <mergeCell ref="AK5:AL5"/>
    <mergeCell ref="Z4:AH4"/>
    <mergeCell ref="AY5:AZ5"/>
    <mergeCell ref="AO4:AT4"/>
    <mergeCell ref="Y4:Y6"/>
    <mergeCell ref="AS5:AT5"/>
    <mergeCell ref="AI5:AJ5"/>
    <mergeCell ref="AW5:AX5"/>
    <mergeCell ref="AC5:AE5"/>
    <mergeCell ref="AQ5:AR5"/>
    <mergeCell ref="AM5:AN5"/>
    <mergeCell ref="AU5:AV5"/>
    <mergeCell ref="B1:I1"/>
    <mergeCell ref="B2:I2"/>
    <mergeCell ref="B3:I3"/>
    <mergeCell ref="R4:T4"/>
    <mergeCell ref="K2:W2"/>
    <mergeCell ref="L4:N4"/>
    <mergeCell ref="K4:K6"/>
    <mergeCell ref="U5:U6"/>
    <mergeCell ref="R5:R6"/>
    <mergeCell ref="S5:S6"/>
    <mergeCell ref="P5:P6"/>
    <mergeCell ref="Q5:Q6"/>
    <mergeCell ref="V5:V6"/>
    <mergeCell ref="U4:W4"/>
  </mergeCells>
  <phoneticPr fontId="13" type="noConversion"/>
  <pageMargins left="0.75" right="0.75" top="1" bottom="1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24"/>
  <sheetViews>
    <sheetView zoomScaleNormal="100" workbookViewId="0">
      <selection activeCell="O26" sqref="O26"/>
    </sheetView>
  </sheetViews>
  <sheetFormatPr baseColWidth="10" defaultRowHeight="13.2"/>
  <cols>
    <col min="1" max="1" width="2.6640625" customWidth="1"/>
    <col min="2" max="2" width="15.33203125" customWidth="1"/>
    <col min="3" max="3" width="14.33203125" customWidth="1"/>
    <col min="4" max="4" width="13.6640625" customWidth="1"/>
    <col min="6" max="6" width="14" customWidth="1"/>
    <col min="7" max="7" width="15.5546875" customWidth="1"/>
    <col min="8" max="8" width="13.6640625" customWidth="1"/>
    <col min="10" max="10" width="13.44140625" customWidth="1"/>
    <col min="11" max="11" width="15.6640625" customWidth="1"/>
    <col min="12" max="12" width="13.88671875" customWidth="1"/>
    <col min="13" max="13" width="14.44140625" customWidth="1"/>
    <col min="14" max="14" width="15.6640625" customWidth="1"/>
    <col min="15" max="15" width="14.5546875" customWidth="1"/>
  </cols>
  <sheetData>
    <row r="3" spans="2:16" ht="15.6">
      <c r="B3" s="667" t="s">
        <v>27</v>
      </c>
      <c r="C3" s="667"/>
      <c r="D3" s="667"/>
      <c r="E3" s="667"/>
      <c r="F3" s="667"/>
      <c r="G3" s="667"/>
      <c r="H3" s="667"/>
      <c r="J3" s="667" t="s">
        <v>27</v>
      </c>
      <c r="K3" s="667"/>
      <c r="L3" s="667"/>
      <c r="M3" s="667"/>
      <c r="N3" s="667"/>
      <c r="O3" s="667"/>
      <c r="P3" s="596"/>
    </row>
    <row r="4" spans="2:16" ht="13.2" customHeight="1">
      <c r="B4" s="667" t="s">
        <v>344</v>
      </c>
      <c r="C4" s="667"/>
      <c r="D4" s="667"/>
      <c r="E4" s="667"/>
      <c r="F4" s="667"/>
      <c r="G4" s="667"/>
      <c r="H4" s="667"/>
      <c r="J4" s="667" t="s">
        <v>344</v>
      </c>
      <c r="K4" s="667"/>
      <c r="L4" s="667"/>
      <c r="M4" s="667"/>
      <c r="N4" s="667"/>
      <c r="O4" s="667"/>
      <c r="P4" s="596"/>
    </row>
    <row r="5" spans="2:16" ht="13.2" customHeight="1">
      <c r="B5" s="667" t="s">
        <v>320</v>
      </c>
      <c r="C5" s="667"/>
      <c r="D5" s="667"/>
      <c r="E5" s="667"/>
      <c r="F5" s="667"/>
      <c r="G5" s="667"/>
      <c r="H5" s="667"/>
      <c r="J5" s="669" t="s">
        <v>321</v>
      </c>
      <c r="K5" s="669"/>
      <c r="L5" s="669"/>
      <c r="M5" s="669"/>
      <c r="N5" s="669"/>
      <c r="O5" s="669"/>
    </row>
    <row r="6" spans="2:16" ht="13.2" customHeight="1">
      <c r="B6" s="667" t="s">
        <v>67</v>
      </c>
      <c r="C6" s="667"/>
      <c r="D6" s="667"/>
      <c r="E6" s="667"/>
      <c r="F6" s="667"/>
      <c r="G6" s="667"/>
      <c r="H6" s="667"/>
      <c r="J6" s="669" t="s">
        <v>67</v>
      </c>
      <c r="K6" s="669"/>
      <c r="L6" s="669"/>
      <c r="M6" s="669"/>
      <c r="N6" s="669"/>
      <c r="O6" s="669"/>
    </row>
    <row r="7" spans="2:16" ht="13.2" customHeight="1" thickBot="1">
      <c r="B7" s="668">
        <v>2021</v>
      </c>
      <c r="C7" s="668"/>
      <c r="D7" s="668"/>
      <c r="E7" s="668"/>
      <c r="F7" s="668"/>
      <c r="G7" s="668"/>
      <c r="H7" s="668"/>
      <c r="J7" s="668">
        <v>2021</v>
      </c>
      <c r="K7" s="668"/>
      <c r="L7" s="668"/>
      <c r="M7" s="668"/>
      <c r="N7" s="668"/>
      <c r="O7" s="668"/>
    </row>
    <row r="8" spans="2:16" ht="38.4" customHeight="1" thickTop="1" thickBot="1">
      <c r="B8" s="588" t="s">
        <v>322</v>
      </c>
      <c r="C8" s="589" t="s">
        <v>323</v>
      </c>
      <c r="D8" s="590" t="s">
        <v>324</v>
      </c>
      <c r="E8" s="590" t="s">
        <v>325</v>
      </c>
      <c r="F8" s="590" t="s">
        <v>326</v>
      </c>
      <c r="G8" s="590" t="s">
        <v>327</v>
      </c>
      <c r="H8" s="591" t="s">
        <v>328</v>
      </c>
      <c r="J8" s="592" t="s">
        <v>322</v>
      </c>
      <c r="K8" s="593" t="s">
        <v>329</v>
      </c>
      <c r="L8" s="594" t="s">
        <v>325</v>
      </c>
      <c r="M8" s="594" t="s">
        <v>326</v>
      </c>
      <c r="N8" s="594" t="s">
        <v>327</v>
      </c>
      <c r="O8" s="595" t="s">
        <v>328</v>
      </c>
    </row>
    <row r="9" spans="2:16">
      <c r="B9" s="580"/>
      <c r="C9" s="562"/>
      <c r="D9" s="563"/>
      <c r="E9" s="563"/>
      <c r="F9" s="563"/>
      <c r="G9" s="563"/>
      <c r="H9" s="564"/>
      <c r="J9" s="584"/>
      <c r="K9" s="565"/>
      <c r="L9" s="566"/>
      <c r="M9" s="566"/>
      <c r="N9" s="566"/>
      <c r="O9" s="567"/>
    </row>
    <row r="10" spans="2:16" ht="14.4">
      <c r="B10" s="581" t="s">
        <v>330</v>
      </c>
      <c r="C10" s="568">
        <v>845159.95</v>
      </c>
      <c r="D10" s="569">
        <v>10871.05</v>
      </c>
      <c r="E10" s="569">
        <v>158.68</v>
      </c>
      <c r="F10" s="569">
        <v>710674.37399999995</v>
      </c>
      <c r="G10" s="569">
        <v>181951.37</v>
      </c>
      <c r="H10" s="570">
        <v>258464.12</v>
      </c>
      <c r="J10" s="585" t="s">
        <v>330</v>
      </c>
      <c r="K10" s="571">
        <v>787187.12</v>
      </c>
      <c r="L10" s="569">
        <v>25408.38</v>
      </c>
      <c r="M10" s="569">
        <v>710674.37</v>
      </c>
      <c r="N10" s="569">
        <v>90525.78</v>
      </c>
      <c r="O10" s="570">
        <v>14013.03</v>
      </c>
    </row>
    <row r="11" spans="2:16" ht="14.4">
      <c r="B11" s="581" t="s">
        <v>331</v>
      </c>
      <c r="C11" s="568">
        <v>826451.25</v>
      </c>
      <c r="D11" s="569">
        <v>8362.7199999999993</v>
      </c>
      <c r="E11" s="569">
        <v>124.25</v>
      </c>
      <c r="F11" s="569">
        <v>652268.32999999996</v>
      </c>
      <c r="G11" s="569">
        <v>159987.16</v>
      </c>
      <c r="H11" s="570">
        <v>271875.90000000002</v>
      </c>
      <c r="J11" s="585" t="s">
        <v>331</v>
      </c>
      <c r="K11" s="571">
        <v>764157.06</v>
      </c>
      <c r="L11" s="569">
        <v>20992.15</v>
      </c>
      <c r="M11" s="569">
        <v>652268.32999999996</v>
      </c>
      <c r="N11" s="569">
        <v>122438.64</v>
      </c>
      <c r="O11" s="570">
        <v>10549.9</v>
      </c>
    </row>
    <row r="12" spans="2:16" ht="14.4">
      <c r="B12" s="581" t="s">
        <v>332</v>
      </c>
      <c r="C12" s="568">
        <v>946036.12</v>
      </c>
      <c r="D12" s="569">
        <v>6805.76</v>
      </c>
      <c r="E12" s="569">
        <v>84.18</v>
      </c>
      <c r="F12" s="569">
        <v>712178.33</v>
      </c>
      <c r="G12" s="569">
        <v>157126.57999999999</v>
      </c>
      <c r="H12" s="570">
        <v>318821.78999999998</v>
      </c>
      <c r="J12" s="585" t="s">
        <v>332</v>
      </c>
      <c r="K12" s="571">
        <v>873873.54</v>
      </c>
      <c r="L12" s="569">
        <v>21672.78</v>
      </c>
      <c r="M12" s="569">
        <v>712178.33</v>
      </c>
      <c r="N12" s="569">
        <v>165114.38</v>
      </c>
      <c r="O12" s="570">
        <v>3419.17</v>
      </c>
    </row>
    <row r="13" spans="2:16" ht="14.4">
      <c r="B13" s="581" t="s">
        <v>333</v>
      </c>
      <c r="C13" s="568">
        <v>935157.37</v>
      </c>
      <c r="D13" s="569">
        <v>13269.98</v>
      </c>
      <c r="E13" s="569">
        <v>158.30000000000001</v>
      </c>
      <c r="F13" s="569">
        <v>654919.15</v>
      </c>
      <c r="G13" s="569">
        <v>116947.45</v>
      </c>
      <c r="H13" s="570">
        <v>313179.09000000003</v>
      </c>
      <c r="J13" s="585" t="s">
        <v>333</v>
      </c>
      <c r="K13" s="571">
        <v>851150.79</v>
      </c>
      <c r="L13" s="569">
        <v>33843.06</v>
      </c>
      <c r="M13" s="569">
        <v>654919.15</v>
      </c>
      <c r="N13" s="569">
        <v>197536.5</v>
      </c>
      <c r="O13" s="570">
        <v>1304.8599999999999</v>
      </c>
    </row>
    <row r="14" spans="2:16" ht="14.4">
      <c r="B14" s="581" t="s">
        <v>334</v>
      </c>
      <c r="C14" s="568">
        <v>954667.99</v>
      </c>
      <c r="D14" s="569">
        <v>5133.97</v>
      </c>
      <c r="E14" s="569">
        <v>189.32</v>
      </c>
      <c r="F14" s="569">
        <v>659794.18999999994</v>
      </c>
      <c r="G14" s="569">
        <v>132979.23000000001</v>
      </c>
      <c r="H14" s="570">
        <v>354848.93</v>
      </c>
      <c r="J14" s="585" t="s">
        <v>334</v>
      </c>
      <c r="K14" s="571">
        <v>881663.88</v>
      </c>
      <c r="L14" s="569">
        <v>45045.53</v>
      </c>
      <c r="M14" s="569">
        <v>659794.18999999994</v>
      </c>
      <c r="N14" s="569">
        <v>221988.68</v>
      </c>
      <c r="O14" s="570">
        <v>118.99</v>
      </c>
    </row>
    <row r="15" spans="2:16" ht="14.4">
      <c r="B15" s="581" t="s">
        <v>335</v>
      </c>
      <c r="C15" s="568">
        <v>937940.57</v>
      </c>
      <c r="D15" s="569">
        <v>11781.54</v>
      </c>
      <c r="E15" s="569">
        <v>248.65</v>
      </c>
      <c r="F15" s="569">
        <v>639034.34</v>
      </c>
      <c r="G15" s="569">
        <v>148151.96</v>
      </c>
      <c r="H15" s="570">
        <v>344265.96</v>
      </c>
      <c r="J15" s="585" t="s">
        <v>335</v>
      </c>
      <c r="K15" s="571">
        <v>835148.03</v>
      </c>
      <c r="L15" s="569">
        <v>41955.7</v>
      </c>
      <c r="M15" s="569">
        <v>639034.04</v>
      </c>
      <c r="N15" s="569">
        <v>196192.9</v>
      </c>
      <c r="O15" s="570">
        <v>78.91</v>
      </c>
    </row>
    <row r="16" spans="2:16" ht="14.4">
      <c r="B16" s="581" t="s">
        <v>336</v>
      </c>
      <c r="C16" s="568">
        <v>977449.35</v>
      </c>
      <c r="D16" s="569">
        <v>17482.91</v>
      </c>
      <c r="E16" s="569">
        <v>283.58999999999997</v>
      </c>
      <c r="F16" s="569">
        <v>679458.33</v>
      </c>
      <c r="G16" s="569">
        <v>129159.51</v>
      </c>
      <c r="H16" s="570">
        <v>320876.196</v>
      </c>
      <c r="J16" s="585" t="s">
        <v>336</v>
      </c>
      <c r="K16" s="571">
        <v>871175</v>
      </c>
      <c r="L16" s="569">
        <v>38819.53</v>
      </c>
      <c r="M16" s="569">
        <v>679458.33</v>
      </c>
      <c r="N16" s="569">
        <v>192364.35</v>
      </c>
      <c r="O16" s="570">
        <v>647.66999999999996</v>
      </c>
    </row>
    <row r="17" spans="2:15" ht="14.4">
      <c r="B17" s="581" t="s">
        <v>337</v>
      </c>
      <c r="C17" s="568">
        <v>987533.81</v>
      </c>
      <c r="D17" s="569">
        <v>27876.37</v>
      </c>
      <c r="E17" s="569">
        <v>550.30999999999995</v>
      </c>
      <c r="F17" s="569">
        <v>683330.37</v>
      </c>
      <c r="G17" s="569">
        <v>186465.85</v>
      </c>
      <c r="H17" s="570">
        <v>365465.85</v>
      </c>
      <c r="J17" s="585" t="s">
        <v>337</v>
      </c>
      <c r="K17" s="571">
        <v>862280.26</v>
      </c>
      <c r="L17" s="569">
        <v>52212.18</v>
      </c>
      <c r="M17" s="569">
        <v>683330.37</v>
      </c>
      <c r="N17" s="569">
        <v>178949.88</v>
      </c>
      <c r="O17" s="570">
        <v>0</v>
      </c>
    </row>
    <row r="18" spans="2:15" ht="14.4">
      <c r="B18" s="581" t="s">
        <v>338</v>
      </c>
      <c r="C18" s="568">
        <v>956494.74</v>
      </c>
      <c r="D18" s="569">
        <v>14717.75</v>
      </c>
      <c r="E18" s="569">
        <v>379.47</v>
      </c>
      <c r="F18" s="569">
        <v>699663.67</v>
      </c>
      <c r="G18" s="569">
        <v>202087.7</v>
      </c>
      <c r="H18" s="570">
        <v>337186.63</v>
      </c>
      <c r="J18" s="585" t="s">
        <v>338</v>
      </c>
      <c r="K18" s="571">
        <v>834762.59600000002</v>
      </c>
      <c r="L18" s="569">
        <v>52208.57</v>
      </c>
      <c r="M18" s="569">
        <v>699663.67</v>
      </c>
      <c r="N18" s="569">
        <v>135178.99</v>
      </c>
      <c r="O18" s="570">
        <v>80.069999999999993</v>
      </c>
    </row>
    <row r="19" spans="2:15" ht="14.4">
      <c r="B19" s="581" t="s">
        <v>339</v>
      </c>
      <c r="C19" s="568">
        <v>1025873.9</v>
      </c>
      <c r="D19" s="569">
        <v>21024.83</v>
      </c>
      <c r="E19" s="569">
        <v>432.8</v>
      </c>
      <c r="F19" s="569">
        <v>787719.41</v>
      </c>
      <c r="G19" s="569">
        <v>187295.23</v>
      </c>
      <c r="H19" s="570">
        <v>277571.55</v>
      </c>
      <c r="J19" s="585" t="s">
        <v>339</v>
      </c>
      <c r="K19" s="571">
        <v>877995.73</v>
      </c>
      <c r="L19" s="569">
        <v>50931.94</v>
      </c>
      <c r="M19" s="569">
        <v>787719.41</v>
      </c>
      <c r="N19" s="569">
        <v>90307.65</v>
      </c>
      <c r="O19" s="570">
        <v>31.34</v>
      </c>
    </row>
    <row r="20" spans="2:15" ht="14.4">
      <c r="B20" s="581" t="s">
        <v>340</v>
      </c>
      <c r="C20" s="568">
        <v>937044.73</v>
      </c>
      <c r="D20" s="569">
        <v>43112.71</v>
      </c>
      <c r="E20" s="569">
        <v>587.4</v>
      </c>
      <c r="F20" s="569">
        <v>704723.23</v>
      </c>
      <c r="G20" s="569">
        <v>175086.5</v>
      </c>
      <c r="H20" s="570">
        <v>282105.17</v>
      </c>
      <c r="J20" s="585" t="s">
        <v>340</v>
      </c>
      <c r="K20" s="571">
        <v>811745.16</v>
      </c>
      <c r="L20" s="569">
        <v>38122.080000000002</v>
      </c>
      <c r="M20" s="569">
        <v>704726.49</v>
      </c>
      <c r="N20" s="569">
        <v>107364.73</v>
      </c>
      <c r="O20" s="570">
        <v>346.06</v>
      </c>
    </row>
    <row r="21" spans="2:15" ht="15" thickBot="1">
      <c r="B21" s="582" t="s">
        <v>341</v>
      </c>
      <c r="C21" s="572">
        <v>1051308.02</v>
      </c>
      <c r="D21" s="573">
        <v>116511.77</v>
      </c>
      <c r="E21" s="573">
        <v>742.37</v>
      </c>
      <c r="F21" s="573">
        <v>840833.52</v>
      </c>
      <c r="G21" s="573">
        <v>268220.31</v>
      </c>
      <c r="H21" s="574">
        <v>315280.14</v>
      </c>
      <c r="J21" s="586" t="s">
        <v>341</v>
      </c>
      <c r="K21" s="575">
        <v>887893.34</v>
      </c>
      <c r="L21" s="573">
        <v>25508.799999999999</v>
      </c>
      <c r="M21" s="573">
        <v>840833.52</v>
      </c>
      <c r="N21" s="573">
        <v>55981.59</v>
      </c>
      <c r="O21" s="574">
        <v>8921.77</v>
      </c>
    </row>
    <row r="22" spans="2:15" ht="15" thickBot="1">
      <c r="B22" s="583" t="s">
        <v>342</v>
      </c>
      <c r="C22" s="576">
        <f>SUM(C10:C21)</f>
        <v>11381117.800000001</v>
      </c>
      <c r="D22" s="577">
        <f t="shared" ref="D22:H22" si="0">SUM(D10:D21)</f>
        <v>296951.36</v>
      </c>
      <c r="E22" s="577">
        <f t="shared" si="0"/>
        <v>3939.32</v>
      </c>
      <c r="F22" s="577">
        <f t="shared" si="0"/>
        <v>8424597.243999999</v>
      </c>
      <c r="G22" s="577">
        <f t="shared" si="0"/>
        <v>2045458.8499999999</v>
      </c>
      <c r="H22" s="578">
        <f t="shared" si="0"/>
        <v>3759941.3259999999</v>
      </c>
      <c r="J22" s="587" t="s">
        <v>342</v>
      </c>
      <c r="K22" s="579">
        <f>SUM(K10:K21)</f>
        <v>10139032.505999999</v>
      </c>
      <c r="L22" s="577">
        <f t="shared" ref="L22:O22" si="1">SUM(L10:L21)</f>
        <v>446720.7</v>
      </c>
      <c r="M22" s="577">
        <f t="shared" si="1"/>
        <v>8424600.1999999993</v>
      </c>
      <c r="N22" s="577">
        <f t="shared" si="1"/>
        <v>1753944.0699999998</v>
      </c>
      <c r="O22" s="578">
        <f t="shared" si="1"/>
        <v>39511.770000000004</v>
      </c>
    </row>
    <row r="23" spans="2:15">
      <c r="C23" s="450"/>
      <c r="D23" s="450"/>
      <c r="E23" s="450"/>
      <c r="F23" s="450"/>
      <c r="G23" s="450"/>
      <c r="H23" s="450"/>
    </row>
    <row r="24" spans="2:15" ht="14.4">
      <c r="B24" t="s">
        <v>343</v>
      </c>
      <c r="C24" s="561"/>
      <c r="D24" s="450"/>
      <c r="E24" s="450"/>
      <c r="F24" s="450"/>
      <c r="G24" s="450"/>
      <c r="H24" s="450"/>
      <c r="J24" t="s">
        <v>343</v>
      </c>
      <c r="K24" s="561"/>
      <c r="L24" s="450"/>
    </row>
  </sheetData>
  <mergeCells count="10">
    <mergeCell ref="B6:H6"/>
    <mergeCell ref="B7:H7"/>
    <mergeCell ref="J6:O6"/>
    <mergeCell ref="J7:O7"/>
    <mergeCell ref="B3:H3"/>
    <mergeCell ref="J3:O3"/>
    <mergeCell ref="B4:H4"/>
    <mergeCell ref="B5:H5"/>
    <mergeCell ref="J4:O4"/>
    <mergeCell ref="J5:O5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4" tint="0.59999389629810485"/>
    <pageSetUpPr fitToPage="1"/>
  </sheetPr>
  <dimension ref="A1:AH83"/>
  <sheetViews>
    <sheetView workbookViewId="0">
      <selection activeCell="J12" sqref="J12"/>
    </sheetView>
  </sheetViews>
  <sheetFormatPr baseColWidth="10" defaultColWidth="11.44140625" defaultRowHeight="15" customHeight="1"/>
  <cols>
    <col min="1" max="1" width="2.6640625" style="23" customWidth="1"/>
    <col min="2" max="2" width="17" style="23" customWidth="1"/>
    <col min="3" max="11" width="14.109375" style="23" customWidth="1"/>
    <col min="12" max="12" width="2.6640625" style="23" customWidth="1"/>
    <col min="13" max="13" width="17" style="23" customWidth="1"/>
    <col min="14" max="15" width="14.109375" style="127" customWidth="1"/>
    <col min="16" max="16" width="14.33203125" style="127" customWidth="1"/>
    <col min="17" max="17" width="13.5546875" style="127" customWidth="1"/>
    <col min="18" max="18" width="14.33203125" style="127" customWidth="1"/>
    <col min="19" max="19" width="12.5546875" style="127" customWidth="1"/>
    <col min="20" max="20" width="13.6640625" style="23" customWidth="1"/>
    <col min="21" max="21" width="14.44140625" style="23" customWidth="1"/>
    <col min="22" max="22" width="12.6640625" style="23" customWidth="1"/>
    <col min="23" max="16384" width="11.44140625" style="23"/>
  </cols>
  <sheetData>
    <row r="1" spans="2:34" ht="15" customHeight="1">
      <c r="B1" s="670" t="s">
        <v>28</v>
      </c>
      <c r="C1" s="670"/>
      <c r="D1" s="670"/>
      <c r="E1" s="670"/>
      <c r="F1" s="670"/>
      <c r="G1" s="670"/>
      <c r="H1" s="670"/>
      <c r="I1" s="670"/>
      <c r="J1" s="670"/>
      <c r="K1" s="670"/>
      <c r="M1" s="670" t="s">
        <v>28</v>
      </c>
      <c r="N1" s="670"/>
      <c r="O1" s="670"/>
      <c r="P1" s="670"/>
      <c r="Q1" s="670"/>
      <c r="R1" s="670"/>
      <c r="S1" s="670"/>
      <c r="T1" s="670"/>
      <c r="U1" s="670"/>
      <c r="V1" s="670"/>
    </row>
    <row r="2" spans="2:34" ht="15" customHeight="1">
      <c r="B2" s="670" t="s">
        <v>3</v>
      </c>
      <c r="C2" s="670"/>
      <c r="D2" s="670"/>
      <c r="E2" s="670"/>
      <c r="F2" s="670"/>
      <c r="G2" s="670"/>
      <c r="H2" s="670"/>
      <c r="I2" s="670"/>
      <c r="J2" s="670"/>
      <c r="K2" s="670"/>
      <c r="M2" s="670" t="s">
        <v>3</v>
      </c>
      <c r="N2" s="670"/>
      <c r="O2" s="670"/>
      <c r="P2" s="670"/>
      <c r="Q2" s="670"/>
      <c r="R2" s="670"/>
      <c r="S2" s="670"/>
      <c r="T2" s="670"/>
      <c r="U2" s="670"/>
      <c r="V2" s="670"/>
      <c r="X2"/>
      <c r="Y2"/>
      <c r="Z2"/>
      <c r="AA2"/>
      <c r="AB2"/>
      <c r="AC2"/>
      <c r="AD2"/>
      <c r="AE2"/>
      <c r="AF2"/>
      <c r="AG2"/>
      <c r="AH2"/>
    </row>
    <row r="3" spans="2:34" ht="15" customHeight="1">
      <c r="B3" s="670" t="s">
        <v>350</v>
      </c>
      <c r="C3" s="670"/>
      <c r="D3" s="670"/>
      <c r="E3" s="670"/>
      <c r="F3" s="670"/>
      <c r="G3" s="670"/>
      <c r="H3" s="670"/>
      <c r="I3" s="670"/>
      <c r="J3" s="670"/>
      <c r="K3" s="670"/>
      <c r="M3" s="670" t="s">
        <v>347</v>
      </c>
      <c r="N3" s="670"/>
      <c r="O3" s="670"/>
      <c r="P3" s="670"/>
      <c r="Q3" s="670"/>
      <c r="R3" s="670"/>
      <c r="S3" s="670"/>
      <c r="T3" s="670"/>
      <c r="U3" s="670"/>
      <c r="V3" s="670"/>
      <c r="X3"/>
      <c r="Y3"/>
      <c r="Z3"/>
      <c r="AA3"/>
      <c r="AB3"/>
      <c r="AC3"/>
      <c r="AD3"/>
      <c r="AE3"/>
      <c r="AF3"/>
      <c r="AG3"/>
      <c r="AH3"/>
    </row>
    <row r="4" spans="2:34" ht="15" customHeight="1" thickBot="1">
      <c r="B4" s="678" t="s">
        <v>63</v>
      </c>
      <c r="C4" s="678"/>
      <c r="D4" s="678"/>
      <c r="E4" s="678"/>
      <c r="F4" s="678"/>
      <c r="G4" s="678"/>
      <c r="H4" s="678"/>
      <c r="I4" s="678"/>
      <c r="J4" s="678"/>
      <c r="K4" s="678"/>
      <c r="M4" s="677" t="s">
        <v>63</v>
      </c>
      <c r="N4" s="677"/>
      <c r="O4" s="677"/>
      <c r="P4" s="677"/>
      <c r="Q4" s="677"/>
      <c r="R4" s="677"/>
      <c r="S4" s="677"/>
      <c r="T4" s="678"/>
      <c r="U4" s="678"/>
      <c r="V4" s="678"/>
      <c r="X4"/>
      <c r="Y4"/>
      <c r="Z4"/>
      <c r="AA4"/>
      <c r="AB4"/>
      <c r="AC4"/>
      <c r="AD4"/>
      <c r="AE4"/>
      <c r="AF4"/>
      <c r="AG4"/>
      <c r="AH4"/>
    </row>
    <row r="5" spans="2:34" ht="15" customHeight="1">
      <c r="B5" s="679" t="s">
        <v>64</v>
      </c>
      <c r="C5" s="671">
        <v>2020</v>
      </c>
      <c r="D5" s="672"/>
      <c r="E5" s="673"/>
      <c r="F5" s="671">
        <v>2021</v>
      </c>
      <c r="G5" s="672"/>
      <c r="H5" s="673"/>
      <c r="I5" s="671"/>
      <c r="J5" s="672"/>
      <c r="K5" s="673"/>
      <c r="M5" s="679" t="s">
        <v>64</v>
      </c>
      <c r="N5" s="671">
        <v>2008</v>
      </c>
      <c r="O5" s="672"/>
      <c r="P5" s="673"/>
      <c r="Q5" s="671">
        <v>2009</v>
      </c>
      <c r="R5" s="672"/>
      <c r="S5" s="673"/>
      <c r="T5" s="671">
        <v>2010</v>
      </c>
      <c r="U5" s="672"/>
      <c r="V5" s="673"/>
      <c r="X5"/>
      <c r="Y5"/>
      <c r="Z5"/>
      <c r="AA5"/>
      <c r="AB5"/>
      <c r="AC5"/>
      <c r="AD5"/>
      <c r="AE5"/>
      <c r="AF5"/>
      <c r="AG5"/>
      <c r="AH5"/>
    </row>
    <row r="6" spans="2:34" ht="15" customHeight="1" thickBot="1">
      <c r="B6" s="680"/>
      <c r="C6" s="390" t="s">
        <v>69</v>
      </c>
      <c r="D6" s="391" t="s">
        <v>70</v>
      </c>
      <c r="E6" s="392" t="s">
        <v>66</v>
      </c>
      <c r="F6" s="390" t="s">
        <v>69</v>
      </c>
      <c r="G6" s="391" t="s">
        <v>70</v>
      </c>
      <c r="H6" s="392" t="s">
        <v>66</v>
      </c>
      <c r="I6" s="390"/>
      <c r="J6" s="391"/>
      <c r="K6" s="392"/>
      <c r="M6" s="680"/>
      <c r="N6" s="390" t="s">
        <v>69</v>
      </c>
      <c r="O6" s="391" t="s">
        <v>70</v>
      </c>
      <c r="P6" s="392" t="s">
        <v>66</v>
      </c>
      <c r="Q6" s="390" t="s">
        <v>69</v>
      </c>
      <c r="R6" s="391" t="s">
        <v>70</v>
      </c>
      <c r="S6" s="392" t="s">
        <v>66</v>
      </c>
      <c r="T6" s="390" t="s">
        <v>69</v>
      </c>
      <c r="U6" s="391" t="s">
        <v>70</v>
      </c>
      <c r="V6" s="392" t="s">
        <v>66</v>
      </c>
      <c r="X6"/>
      <c r="Y6"/>
      <c r="Z6"/>
      <c r="AA6"/>
      <c r="AB6"/>
      <c r="AC6"/>
      <c r="AD6"/>
      <c r="AE6"/>
      <c r="AF6"/>
      <c r="AG6"/>
      <c r="AH6"/>
    </row>
    <row r="7" spans="2:34" ht="15" customHeight="1">
      <c r="B7" s="386" t="s">
        <v>44</v>
      </c>
      <c r="C7" s="72">
        <v>45086.378000000004</v>
      </c>
      <c r="D7" s="537">
        <v>-40463.9</v>
      </c>
      <c r="E7" s="236">
        <f>+C7+D7</f>
        <v>4622.4780000000028</v>
      </c>
      <c r="F7" s="72">
        <v>0</v>
      </c>
      <c r="G7" s="537">
        <v>-21534.7249999999</v>
      </c>
      <c r="H7" s="236">
        <f>+F7+G7</f>
        <v>-21534.7249999999</v>
      </c>
      <c r="I7" s="72"/>
      <c r="J7" s="123"/>
      <c r="K7" s="557"/>
      <c r="M7" s="386" t="s">
        <v>44</v>
      </c>
      <c r="N7" s="72">
        <v>809.84</v>
      </c>
      <c r="O7" s="123">
        <v>-5662.34</v>
      </c>
      <c r="P7" s="236">
        <v>-4852.5</v>
      </c>
      <c r="Q7" s="72">
        <v>2711.4</v>
      </c>
      <c r="R7" s="123">
        <v>-11785</v>
      </c>
      <c r="S7" s="236">
        <v>-9073.6</v>
      </c>
      <c r="T7" s="72">
        <v>10238.549999999999</v>
      </c>
      <c r="U7" s="123">
        <v>0</v>
      </c>
      <c r="V7" s="236">
        <v>10238.549999999999</v>
      </c>
      <c r="X7"/>
      <c r="Y7"/>
      <c r="Z7"/>
      <c r="AA7"/>
      <c r="AB7"/>
      <c r="AC7"/>
      <c r="AD7"/>
      <c r="AE7"/>
      <c r="AF7"/>
      <c r="AG7"/>
      <c r="AH7"/>
    </row>
    <row r="8" spans="2:34" ht="15" customHeight="1">
      <c r="B8" s="383" t="s">
        <v>45</v>
      </c>
      <c r="C8" s="67">
        <v>10832.31500000001</v>
      </c>
      <c r="D8" s="538">
        <v>-50897.5</v>
      </c>
      <c r="E8" s="236">
        <f t="shared" ref="E8:E17" si="0">+C8+D8</f>
        <v>-40065.18499999999</v>
      </c>
      <c r="F8" s="67">
        <v>0</v>
      </c>
      <c r="G8" s="538">
        <v>-32815.067999999897</v>
      </c>
      <c r="H8" s="236">
        <f t="shared" ref="H8:H17" si="1">+F8+G8</f>
        <v>-32815.067999999897</v>
      </c>
      <c r="I8" s="67"/>
      <c r="J8" s="241"/>
      <c r="K8" s="558"/>
      <c r="M8" s="383" t="s">
        <v>45</v>
      </c>
      <c r="N8" s="67">
        <v>3578.93</v>
      </c>
      <c r="O8" s="60">
        <v>-2880</v>
      </c>
      <c r="P8" s="62">
        <v>698.92999999999984</v>
      </c>
      <c r="Q8" s="67">
        <v>1845</v>
      </c>
      <c r="R8" s="60">
        <v>-14667.55</v>
      </c>
      <c r="S8" s="62">
        <v>-12822.55</v>
      </c>
      <c r="T8" s="67">
        <v>10392.91</v>
      </c>
      <c r="U8" s="60">
        <v>0</v>
      </c>
      <c r="V8" s="62">
        <v>10392.91</v>
      </c>
      <c r="X8"/>
      <c r="Y8"/>
      <c r="Z8"/>
      <c r="AA8"/>
      <c r="AB8"/>
      <c r="AC8"/>
      <c r="AD8"/>
      <c r="AE8"/>
      <c r="AF8"/>
      <c r="AG8"/>
      <c r="AH8"/>
    </row>
    <row r="9" spans="2:34" ht="15" customHeight="1">
      <c r="B9" s="383" t="s">
        <v>46</v>
      </c>
      <c r="C9" s="67">
        <v>14370.842999999997</v>
      </c>
      <c r="D9" s="538">
        <v>-60614.07</v>
      </c>
      <c r="E9" s="236">
        <f t="shared" si="0"/>
        <v>-46243.226999999999</v>
      </c>
      <c r="F9" s="67">
        <v>28044.66399999999</v>
      </c>
      <c r="G9" s="538">
        <v>-43599.858999999698</v>
      </c>
      <c r="H9" s="236">
        <f t="shared" si="1"/>
        <v>-15555.194999999709</v>
      </c>
      <c r="I9" s="67"/>
      <c r="J9" s="60"/>
      <c r="K9" s="558"/>
      <c r="M9" s="383" t="s">
        <v>46</v>
      </c>
      <c r="N9" s="67">
        <v>3845</v>
      </c>
      <c r="O9" s="60">
        <v>-15343</v>
      </c>
      <c r="P9" s="62">
        <v>-11498</v>
      </c>
      <c r="Q9" s="67">
        <v>1573.66</v>
      </c>
      <c r="R9" s="60">
        <v>-11560.01</v>
      </c>
      <c r="S9" s="62">
        <v>-9986.35</v>
      </c>
      <c r="T9" s="67">
        <v>398</v>
      </c>
      <c r="U9" s="60">
        <v>0</v>
      </c>
      <c r="V9" s="62">
        <v>398</v>
      </c>
      <c r="X9"/>
      <c r="Y9"/>
      <c r="Z9"/>
      <c r="AA9"/>
      <c r="AB9"/>
      <c r="AC9"/>
      <c r="AD9"/>
      <c r="AE9"/>
      <c r="AF9"/>
      <c r="AG9"/>
      <c r="AH9"/>
    </row>
    <row r="10" spans="2:34" ht="15" customHeight="1">
      <c r="B10" s="383" t="s">
        <v>47</v>
      </c>
      <c r="C10" s="67">
        <v>1378.4109999999996</v>
      </c>
      <c r="D10" s="538">
        <v>-49928.06</v>
      </c>
      <c r="E10" s="236">
        <f t="shared" si="0"/>
        <v>-48549.648999999998</v>
      </c>
      <c r="F10" s="67">
        <v>6170.0780000000041</v>
      </c>
      <c r="G10" s="538">
        <v>-36735.234999999899</v>
      </c>
      <c r="H10" s="236">
        <f t="shared" si="1"/>
        <v>-30565.156999999894</v>
      </c>
      <c r="I10" s="67"/>
      <c r="J10" s="241"/>
      <c r="K10" s="558"/>
      <c r="M10" s="383" t="s">
        <v>47</v>
      </c>
      <c r="N10" s="67">
        <v>4094.6</v>
      </c>
      <c r="O10" s="241">
        <v>0</v>
      </c>
      <c r="P10" s="62">
        <v>4094.6</v>
      </c>
      <c r="Q10" s="67">
        <v>2</v>
      </c>
      <c r="R10" s="241">
        <v>-20020.080000000002</v>
      </c>
      <c r="S10" s="62">
        <v>-20018.080000000002</v>
      </c>
      <c r="T10" s="67">
        <v>0</v>
      </c>
      <c r="U10" s="241">
        <v>-4399.04</v>
      </c>
      <c r="V10" s="62">
        <v>-4399.04</v>
      </c>
      <c r="X10"/>
      <c r="Y10"/>
      <c r="Z10"/>
      <c r="AA10"/>
      <c r="AB10"/>
      <c r="AC10"/>
      <c r="AD10"/>
      <c r="AE10"/>
      <c r="AF10"/>
      <c r="AG10"/>
      <c r="AH10"/>
    </row>
    <row r="11" spans="2:34" ht="15" customHeight="1">
      <c r="B11" s="383" t="s">
        <v>48</v>
      </c>
      <c r="C11" s="67">
        <v>615.43399999999997</v>
      </c>
      <c r="D11" s="538">
        <v>-59029.83</v>
      </c>
      <c r="E11" s="236">
        <f t="shared" si="0"/>
        <v>-58414.396000000001</v>
      </c>
      <c r="F11" s="67">
        <v>0</v>
      </c>
      <c r="G11" s="538">
        <v>-22635.295999999798</v>
      </c>
      <c r="H11" s="236">
        <f t="shared" si="1"/>
        <v>-22635.295999999798</v>
      </c>
      <c r="I11" s="67"/>
      <c r="J11" s="241"/>
      <c r="K11" s="558"/>
      <c r="M11" s="383" t="s">
        <v>48</v>
      </c>
      <c r="N11" s="67">
        <v>4217</v>
      </c>
      <c r="O11" s="241">
        <v>0</v>
      </c>
      <c r="P11" s="62">
        <v>4217</v>
      </c>
      <c r="Q11" s="67">
        <v>1871.3</v>
      </c>
      <c r="R11" s="241">
        <v>-13794</v>
      </c>
      <c r="S11" s="62">
        <v>-11922.7</v>
      </c>
      <c r="T11" s="67">
        <v>300</v>
      </c>
      <c r="U11" s="241">
        <v>-8051.73</v>
      </c>
      <c r="V11" s="62">
        <v>-7751.73</v>
      </c>
      <c r="X11"/>
      <c r="Y11"/>
      <c r="Z11"/>
      <c r="AA11"/>
      <c r="AB11"/>
      <c r="AC11"/>
      <c r="AD11"/>
      <c r="AE11"/>
      <c r="AF11"/>
      <c r="AG11"/>
      <c r="AH11"/>
    </row>
    <row r="12" spans="2:34" ht="15" customHeight="1">
      <c r="B12" s="383" t="s">
        <v>49</v>
      </c>
      <c r="C12" s="67">
        <v>9894.0560000000041</v>
      </c>
      <c r="D12" s="538">
        <v>-48508.79</v>
      </c>
      <c r="E12" s="236">
        <f t="shared" si="0"/>
        <v>-38614.733999999997</v>
      </c>
      <c r="F12" s="67">
        <v>0</v>
      </c>
      <c r="G12" s="538">
        <v>-48806.642099999997</v>
      </c>
      <c r="H12" s="236">
        <f t="shared" si="1"/>
        <v>-48806.642099999997</v>
      </c>
      <c r="I12" s="67"/>
      <c r="J12" s="241"/>
      <c r="K12" s="558"/>
      <c r="M12" s="383" t="s">
        <v>49</v>
      </c>
      <c r="N12" s="67">
        <v>14849.58</v>
      </c>
      <c r="O12" s="241">
        <v>0</v>
      </c>
      <c r="P12" s="62">
        <v>14849.58</v>
      </c>
      <c r="Q12" s="67">
        <v>11099.49</v>
      </c>
      <c r="R12" s="241">
        <v>-7053.65</v>
      </c>
      <c r="S12" s="62">
        <v>4045.84</v>
      </c>
      <c r="T12" s="67">
        <v>6219.3549999999996</v>
      </c>
      <c r="U12" s="241">
        <v>0</v>
      </c>
      <c r="V12" s="62">
        <v>6219.3549999999996</v>
      </c>
      <c r="X12"/>
      <c r="Y12"/>
      <c r="Z12"/>
      <c r="AA12"/>
      <c r="AB12"/>
      <c r="AC12"/>
      <c r="AD12"/>
      <c r="AE12"/>
      <c r="AF12"/>
      <c r="AG12"/>
      <c r="AH12"/>
    </row>
    <row r="13" spans="2:34" ht="15" customHeight="1">
      <c r="B13" s="383" t="s">
        <v>50</v>
      </c>
      <c r="C13" s="67">
        <v>3853.0530000000012</v>
      </c>
      <c r="D13" s="538">
        <v>-57944.33</v>
      </c>
      <c r="E13" s="236">
        <f t="shared" si="0"/>
        <v>-54091.277000000002</v>
      </c>
      <c r="F13" s="67">
        <v>0</v>
      </c>
      <c r="G13" s="538">
        <v>-51464.029199999997</v>
      </c>
      <c r="H13" s="236">
        <f t="shared" si="1"/>
        <v>-51464.029199999997</v>
      </c>
      <c r="I13" s="67"/>
      <c r="J13" s="241"/>
      <c r="K13" s="558"/>
      <c r="M13" s="383" t="s">
        <v>50</v>
      </c>
      <c r="N13" s="67">
        <v>17660.349999999999</v>
      </c>
      <c r="O13" s="241">
        <v>0</v>
      </c>
      <c r="P13" s="62">
        <v>17660.349999999999</v>
      </c>
      <c r="Q13" s="67">
        <v>16517.169999999998</v>
      </c>
      <c r="R13" s="241">
        <v>-4893</v>
      </c>
      <c r="S13" s="62">
        <v>11624.169999999998</v>
      </c>
      <c r="T13" s="67">
        <v>8437.2540000000008</v>
      </c>
      <c r="U13" s="241">
        <v>-830</v>
      </c>
      <c r="V13" s="62">
        <v>7607.2540000000008</v>
      </c>
      <c r="X13"/>
      <c r="Y13"/>
      <c r="Z13"/>
      <c r="AA13"/>
      <c r="AB13"/>
      <c r="AC13"/>
      <c r="AD13"/>
      <c r="AE13"/>
      <c r="AF13"/>
      <c r="AG13"/>
      <c r="AH13"/>
    </row>
    <row r="14" spans="2:34" ht="15" customHeight="1">
      <c r="B14" s="383" t="s">
        <v>51</v>
      </c>
      <c r="C14" s="67">
        <v>0</v>
      </c>
      <c r="D14" s="538">
        <v>-53446.9</v>
      </c>
      <c r="E14" s="236">
        <f t="shared" si="0"/>
        <v>-53446.9</v>
      </c>
      <c r="F14" s="67">
        <v>0</v>
      </c>
      <c r="G14" s="538">
        <v>-45948.845000000001</v>
      </c>
      <c r="H14" s="236">
        <f t="shared" si="1"/>
        <v>-45948.845000000001</v>
      </c>
      <c r="I14" s="67"/>
      <c r="J14" s="241"/>
      <c r="K14" s="558"/>
      <c r="M14" s="383" t="s">
        <v>51</v>
      </c>
      <c r="N14" s="67">
        <v>19782.78</v>
      </c>
      <c r="O14" s="241">
        <v>0</v>
      </c>
      <c r="P14" s="62">
        <v>19782.78</v>
      </c>
      <c r="Q14" s="67">
        <v>13171.69</v>
      </c>
      <c r="R14" s="241">
        <v>-3740.59</v>
      </c>
      <c r="S14" s="62">
        <v>9431.1</v>
      </c>
      <c r="T14" s="67">
        <v>11202.04</v>
      </c>
      <c r="U14" s="241">
        <v>-2515.42</v>
      </c>
      <c r="V14" s="62">
        <v>8686.6200000000008</v>
      </c>
      <c r="X14"/>
      <c r="Y14"/>
      <c r="Z14"/>
      <c r="AA14"/>
      <c r="AB14"/>
      <c r="AC14"/>
      <c r="AD14"/>
      <c r="AE14"/>
      <c r="AF14"/>
      <c r="AG14"/>
      <c r="AH14"/>
    </row>
    <row r="15" spans="2:34" ht="15" customHeight="1">
      <c r="B15" s="383" t="s">
        <v>65</v>
      </c>
      <c r="C15" s="67">
        <v>0</v>
      </c>
      <c r="D15" s="538">
        <v>-32580.400000000001</v>
      </c>
      <c r="E15" s="236">
        <f t="shared" si="0"/>
        <v>-32580.400000000001</v>
      </c>
      <c r="F15" s="67">
        <v>0</v>
      </c>
      <c r="G15" s="538">
        <v>-54426.357000000004</v>
      </c>
      <c r="H15" s="236">
        <f t="shared" si="1"/>
        <v>-54426.357000000004</v>
      </c>
      <c r="I15" s="67"/>
      <c r="J15" s="241"/>
      <c r="K15" s="558"/>
      <c r="M15" s="383" t="s">
        <v>65</v>
      </c>
      <c r="N15" s="67">
        <v>13972.79</v>
      </c>
      <c r="O15" s="60">
        <v>-390</v>
      </c>
      <c r="P15" s="62">
        <v>13582.79</v>
      </c>
      <c r="Q15" s="67">
        <v>942.77</v>
      </c>
      <c r="R15" s="60">
        <v>-6041.61</v>
      </c>
      <c r="S15" s="62">
        <v>-5098.84</v>
      </c>
      <c r="T15" s="67">
        <v>10294.185799999999</v>
      </c>
      <c r="U15" s="60">
        <v>-1606.21</v>
      </c>
      <c r="V15" s="62">
        <v>8687.9758000000002</v>
      </c>
      <c r="X15"/>
      <c r="Y15"/>
      <c r="Z15"/>
      <c r="AA15"/>
      <c r="AB15"/>
      <c r="AC15"/>
      <c r="AD15"/>
      <c r="AE15"/>
      <c r="AF15"/>
      <c r="AG15"/>
      <c r="AH15"/>
    </row>
    <row r="16" spans="2:34" ht="15" customHeight="1">
      <c r="B16" s="383" t="s">
        <v>53</v>
      </c>
      <c r="C16" s="67">
        <v>0</v>
      </c>
      <c r="D16" s="538">
        <v>-41434.980000000003</v>
      </c>
      <c r="E16" s="236">
        <f t="shared" si="0"/>
        <v>-41434.980000000003</v>
      </c>
      <c r="F16" s="67">
        <v>0</v>
      </c>
      <c r="G16" s="538">
        <v>-79084.831000000006</v>
      </c>
      <c r="H16" s="236">
        <f t="shared" si="1"/>
        <v>-79084.831000000006</v>
      </c>
      <c r="I16" s="67"/>
      <c r="J16" s="241"/>
      <c r="K16" s="558"/>
      <c r="M16" s="383" t="s">
        <v>53</v>
      </c>
      <c r="N16" s="67">
        <v>13915.96</v>
      </c>
      <c r="O16" s="241">
        <v>0</v>
      </c>
      <c r="P16" s="62">
        <v>13915.96</v>
      </c>
      <c r="Q16" s="67">
        <v>740.2</v>
      </c>
      <c r="R16" s="241">
        <v>-1515.02</v>
      </c>
      <c r="S16" s="62">
        <v>-774.81999999999994</v>
      </c>
      <c r="T16" s="67">
        <v>9544.67</v>
      </c>
      <c r="U16" s="241">
        <v>-836.7</v>
      </c>
      <c r="V16" s="62">
        <v>8707.9699999999993</v>
      </c>
      <c r="X16"/>
      <c r="Y16"/>
      <c r="Z16"/>
      <c r="AA16"/>
      <c r="AB16"/>
      <c r="AC16"/>
      <c r="AD16"/>
      <c r="AE16"/>
      <c r="AF16"/>
      <c r="AG16"/>
      <c r="AH16"/>
    </row>
    <row r="17" spans="1:34" ht="15" customHeight="1">
      <c r="B17" s="383" t="s">
        <v>54</v>
      </c>
      <c r="C17" s="67">
        <v>0</v>
      </c>
      <c r="D17" s="538">
        <v>-43858.33</v>
      </c>
      <c r="E17" s="236">
        <f t="shared" si="0"/>
        <v>-43858.33</v>
      </c>
      <c r="F17" s="67">
        <v>0</v>
      </c>
      <c r="G17" s="538">
        <v>-43394.847999999904</v>
      </c>
      <c r="H17" s="236">
        <f t="shared" si="1"/>
        <v>-43394.847999999904</v>
      </c>
      <c r="I17" s="67"/>
      <c r="J17" s="60"/>
      <c r="K17" s="558"/>
      <c r="M17" s="383" t="s">
        <v>54</v>
      </c>
      <c r="N17" s="67">
        <v>6205</v>
      </c>
      <c r="O17" s="60">
        <v>-688.3</v>
      </c>
      <c r="P17" s="62">
        <v>5516.7</v>
      </c>
      <c r="Q17" s="67">
        <v>5561.91</v>
      </c>
      <c r="R17" s="60">
        <v>0</v>
      </c>
      <c r="S17" s="62">
        <v>5561.91</v>
      </c>
      <c r="T17" s="67">
        <v>1605</v>
      </c>
      <c r="U17" s="60">
        <v>-15462.1</v>
      </c>
      <c r="V17" s="62">
        <v>-13857.1</v>
      </c>
      <c r="X17"/>
      <c r="Y17"/>
      <c r="Z17"/>
      <c r="AA17"/>
      <c r="AB17"/>
      <c r="AC17"/>
      <c r="AD17"/>
      <c r="AE17"/>
      <c r="AF17"/>
      <c r="AG17"/>
      <c r="AH17"/>
    </row>
    <row r="18" spans="1:34" ht="15" customHeight="1" thickBot="1">
      <c r="B18" s="385" t="s">
        <v>55</v>
      </c>
      <c r="C18" s="120">
        <v>0</v>
      </c>
      <c r="D18" s="539">
        <v>-28036.55</v>
      </c>
      <c r="E18" s="236">
        <f>+C18+D18</f>
        <v>-28036.55</v>
      </c>
      <c r="F18" s="120">
        <v>41961.407000000007</v>
      </c>
      <c r="G18" s="539">
        <v>-21310.524000000001</v>
      </c>
      <c r="H18" s="236">
        <f>+F18+G18</f>
        <v>20650.883000000005</v>
      </c>
      <c r="I18" s="120"/>
      <c r="J18" s="63"/>
      <c r="K18" s="556"/>
      <c r="M18" s="385" t="s">
        <v>55</v>
      </c>
      <c r="N18" s="120">
        <v>2105</v>
      </c>
      <c r="O18" s="63">
        <v>-6582</v>
      </c>
      <c r="P18" s="235">
        <v>-4477</v>
      </c>
      <c r="Q18" s="120">
        <v>8291.67</v>
      </c>
      <c r="R18" s="63">
        <v>-93.67</v>
      </c>
      <c r="S18" s="235">
        <v>8198</v>
      </c>
      <c r="T18" s="120">
        <v>2116</v>
      </c>
      <c r="U18" s="63">
        <v>-5150.3</v>
      </c>
      <c r="V18" s="235">
        <v>-3034.3</v>
      </c>
      <c r="X18"/>
      <c r="Y18"/>
      <c r="Z18"/>
      <c r="AA18"/>
      <c r="AB18"/>
      <c r="AC18"/>
      <c r="AD18"/>
      <c r="AE18"/>
      <c r="AF18"/>
      <c r="AG18"/>
      <c r="AH18"/>
    </row>
    <row r="19" spans="1:34" ht="15" customHeight="1" thickBot="1">
      <c r="B19" s="387" t="s">
        <v>35</v>
      </c>
      <c r="C19" s="121">
        <f t="shared" ref="C19:E19" si="2">SUM(C7:C18)</f>
        <v>86030.49</v>
      </c>
      <c r="D19" s="540">
        <f>SUM(D7:D18)</f>
        <v>-566743.64</v>
      </c>
      <c r="E19" s="122">
        <f t="shared" si="2"/>
        <v>-480713.15</v>
      </c>
      <c r="F19" s="121">
        <f t="shared" ref="F19:H19" si="3">SUM(F7:F18)</f>
        <v>76176.149000000005</v>
      </c>
      <c r="G19" s="540">
        <f>SUM(G7:G18)</f>
        <v>-501756.25929999904</v>
      </c>
      <c r="H19" s="122">
        <f t="shared" ref="H19" si="4">SUM(H7:H18)</f>
        <v>-425580.11029999907</v>
      </c>
      <c r="I19" s="121"/>
      <c r="J19" s="540"/>
      <c r="K19" s="75"/>
      <c r="M19" s="387" t="s">
        <v>35</v>
      </c>
      <c r="N19" s="121">
        <v>105036.82999999999</v>
      </c>
      <c r="O19" s="122">
        <v>-31545.64</v>
      </c>
      <c r="P19" s="75">
        <v>73491.189999999988</v>
      </c>
      <c r="Q19" s="121">
        <v>64328.259999999995</v>
      </c>
      <c r="R19" s="122">
        <v>-95164.18</v>
      </c>
      <c r="S19" s="75">
        <v>-30835.919999999998</v>
      </c>
      <c r="T19" s="121">
        <v>70747.964800000002</v>
      </c>
      <c r="U19" s="122">
        <v>-38851.500000000007</v>
      </c>
      <c r="V19" s="75">
        <v>31896.464799999994</v>
      </c>
      <c r="X19"/>
      <c r="Y19"/>
      <c r="Z19"/>
      <c r="AA19"/>
      <c r="AB19"/>
      <c r="AC19"/>
      <c r="AD19"/>
      <c r="AE19"/>
      <c r="AF19"/>
      <c r="AG19"/>
      <c r="AH19"/>
    </row>
    <row r="20" spans="1:34" ht="15" customHeight="1" thickBot="1">
      <c r="B20" s="536"/>
      <c r="C20" s="536"/>
      <c r="D20" s="536"/>
      <c r="E20" s="536"/>
      <c r="F20" s="536"/>
      <c r="G20" s="536"/>
      <c r="H20" s="536"/>
      <c r="I20" s="536"/>
      <c r="J20" s="536"/>
      <c r="K20" s="536"/>
      <c r="M20" s="536"/>
      <c r="N20" s="536"/>
      <c r="O20" s="536"/>
      <c r="P20" s="536"/>
      <c r="Q20" s="536"/>
      <c r="R20" s="536"/>
      <c r="S20" s="536"/>
      <c r="T20" s="536"/>
      <c r="U20" s="536"/>
      <c r="V20" s="536"/>
      <c r="X20"/>
      <c r="Y20"/>
      <c r="Z20"/>
      <c r="AA20"/>
      <c r="AB20"/>
      <c r="AC20"/>
      <c r="AD20"/>
      <c r="AE20"/>
      <c r="AF20"/>
      <c r="AG20"/>
      <c r="AH20"/>
    </row>
    <row r="21" spans="1:34" ht="20.100000000000001" customHeight="1">
      <c r="A21" s="10"/>
      <c r="B21" s="679" t="s">
        <v>64</v>
      </c>
      <c r="C21" s="671">
        <v>2017</v>
      </c>
      <c r="D21" s="672"/>
      <c r="E21" s="673"/>
      <c r="F21" s="671">
        <v>2018</v>
      </c>
      <c r="G21" s="672"/>
      <c r="H21" s="673"/>
      <c r="I21" s="671">
        <v>2019</v>
      </c>
      <c r="J21" s="672"/>
      <c r="K21" s="673"/>
      <c r="M21" s="681" t="s">
        <v>64</v>
      </c>
      <c r="N21" s="674">
        <v>2005</v>
      </c>
      <c r="O21" s="675"/>
      <c r="P21" s="676"/>
      <c r="Q21" s="674">
        <v>2006</v>
      </c>
      <c r="R21" s="675"/>
      <c r="S21" s="676"/>
      <c r="T21" s="674">
        <v>2007</v>
      </c>
      <c r="U21" s="675"/>
      <c r="V21" s="676"/>
      <c r="X21"/>
      <c r="Y21"/>
      <c r="Z21"/>
      <c r="AA21"/>
      <c r="AB21"/>
      <c r="AC21"/>
      <c r="AD21"/>
      <c r="AE21"/>
      <c r="AF21"/>
      <c r="AG21"/>
      <c r="AH21"/>
    </row>
    <row r="22" spans="1:34" ht="20.100000000000001" customHeight="1" thickBot="1">
      <c r="A22" s="10"/>
      <c r="B22" s="680"/>
      <c r="C22" s="390" t="s">
        <v>69</v>
      </c>
      <c r="D22" s="391" t="s">
        <v>70</v>
      </c>
      <c r="E22" s="392" t="s">
        <v>66</v>
      </c>
      <c r="F22" s="390" t="s">
        <v>69</v>
      </c>
      <c r="G22" s="391" t="s">
        <v>70</v>
      </c>
      <c r="H22" s="392" t="s">
        <v>66</v>
      </c>
      <c r="I22" s="390" t="s">
        <v>69</v>
      </c>
      <c r="J22" s="391" t="s">
        <v>70</v>
      </c>
      <c r="K22" s="392" t="s">
        <v>66</v>
      </c>
      <c r="M22" s="682"/>
      <c r="N22" s="393" t="s">
        <v>69</v>
      </c>
      <c r="O22" s="394" t="s">
        <v>70</v>
      </c>
      <c r="P22" s="395" t="s">
        <v>66</v>
      </c>
      <c r="Q22" s="393" t="s">
        <v>69</v>
      </c>
      <c r="R22" s="394" t="s">
        <v>70</v>
      </c>
      <c r="S22" s="395" t="s">
        <v>66</v>
      </c>
      <c r="T22" s="393" t="s">
        <v>69</v>
      </c>
      <c r="U22" s="394" t="s">
        <v>70</v>
      </c>
      <c r="V22" s="395" t="s">
        <v>66</v>
      </c>
      <c r="X22"/>
      <c r="Y22"/>
      <c r="Z22"/>
      <c r="AA22"/>
      <c r="AB22"/>
      <c r="AC22"/>
      <c r="AD22"/>
      <c r="AE22"/>
      <c r="AF22"/>
      <c r="AG22"/>
      <c r="AH22"/>
    </row>
    <row r="23" spans="1:34" ht="15" customHeight="1">
      <c r="B23" s="386" t="s">
        <v>44</v>
      </c>
      <c r="C23" s="72">
        <v>0</v>
      </c>
      <c r="D23" s="537">
        <v>-18868.173999999999</v>
      </c>
      <c r="E23" s="541">
        <v>-18868.2</v>
      </c>
      <c r="F23" s="72">
        <v>0</v>
      </c>
      <c r="G23" s="537">
        <v>-29888.73</v>
      </c>
      <c r="H23" s="541">
        <v>-29888.7</v>
      </c>
      <c r="I23" s="72">
        <v>3665.4929999999999</v>
      </c>
      <c r="J23" s="123">
        <v>-33647.74</v>
      </c>
      <c r="K23" s="557">
        <f>+I23+J23</f>
        <v>-29982.246999999999</v>
      </c>
      <c r="M23" s="384" t="s">
        <v>44</v>
      </c>
      <c r="N23" s="150">
        <v>8558.6</v>
      </c>
      <c r="O23" s="154">
        <v>-12908.65</v>
      </c>
      <c r="P23" s="129">
        <f t="shared" ref="P23:P34" si="5">N23+O23</f>
        <v>-4350.0499999999993</v>
      </c>
      <c r="Q23" s="150">
        <v>4739</v>
      </c>
      <c r="R23" s="154">
        <v>-316</v>
      </c>
      <c r="S23" s="129">
        <f t="shared" ref="S23:S34" si="6">Q23+R23</f>
        <v>4423</v>
      </c>
      <c r="T23" s="150">
        <v>589</v>
      </c>
      <c r="U23" s="154">
        <v>-21000</v>
      </c>
      <c r="V23" s="129">
        <f t="shared" ref="V23:V34" si="7">T23+U23</f>
        <v>-20411</v>
      </c>
      <c r="X23"/>
      <c r="Y23"/>
      <c r="Z23"/>
      <c r="AA23"/>
      <c r="AB23"/>
      <c r="AC23"/>
      <c r="AD23"/>
      <c r="AE23"/>
      <c r="AF23"/>
      <c r="AG23"/>
      <c r="AH23"/>
    </row>
    <row r="24" spans="1:34" ht="15" customHeight="1">
      <c r="B24" s="383" t="s">
        <v>45</v>
      </c>
      <c r="C24" s="67">
        <v>1058.5859999999996</v>
      </c>
      <c r="D24" s="538">
        <v>-15410.072</v>
      </c>
      <c r="E24" s="236">
        <f t="shared" ref="E24:E33" si="8">+C24+D24</f>
        <v>-14351.486000000001</v>
      </c>
      <c r="F24" s="67">
        <v>0</v>
      </c>
      <c r="G24" s="538">
        <v>-26173.8</v>
      </c>
      <c r="H24" s="236">
        <f t="shared" ref="H24:H33" si="9">+F24+G24</f>
        <v>-26173.8</v>
      </c>
      <c r="I24" s="67">
        <v>1548.3889999999999</v>
      </c>
      <c r="J24" s="241">
        <v>-56991.586000000003</v>
      </c>
      <c r="K24" s="558">
        <f t="shared" ref="K24:K34" si="10">+I24+J24</f>
        <v>-55443.197</v>
      </c>
      <c r="M24" s="384" t="s">
        <v>45</v>
      </c>
      <c r="N24" s="151">
        <v>1862.7</v>
      </c>
      <c r="O24" s="155">
        <v>-7212.3</v>
      </c>
      <c r="P24" s="130">
        <f t="shared" si="5"/>
        <v>-5349.6</v>
      </c>
      <c r="Q24" s="151">
        <v>267</v>
      </c>
      <c r="R24" s="155">
        <v>-1862.2</v>
      </c>
      <c r="S24" s="130">
        <f t="shared" si="6"/>
        <v>-1595.2</v>
      </c>
      <c r="T24" s="151">
        <v>596</v>
      </c>
      <c r="U24" s="155">
        <v>-32876.78</v>
      </c>
      <c r="V24" s="130">
        <f t="shared" si="7"/>
        <v>-32280.78</v>
      </c>
      <c r="X24"/>
      <c r="Y24"/>
      <c r="Z24"/>
      <c r="AA24"/>
      <c r="AB24"/>
      <c r="AC24"/>
      <c r="AD24"/>
      <c r="AE24"/>
      <c r="AF24"/>
      <c r="AG24"/>
      <c r="AH24"/>
    </row>
    <row r="25" spans="1:34" ht="15" customHeight="1">
      <c r="B25" s="383" t="s">
        <v>46</v>
      </c>
      <c r="C25" s="67">
        <v>4763.317</v>
      </c>
      <c r="D25" s="538">
        <v>-23397.861000000001</v>
      </c>
      <c r="E25" s="236">
        <f t="shared" si="8"/>
        <v>-18634.544000000002</v>
      </c>
      <c r="F25" s="67">
        <v>11086.13</v>
      </c>
      <c r="G25" s="538">
        <v>-25791.77</v>
      </c>
      <c r="H25" s="236">
        <f t="shared" si="9"/>
        <v>-14705.640000000001</v>
      </c>
      <c r="I25" s="67">
        <v>1817.2190000000001</v>
      </c>
      <c r="J25" s="60">
        <v>-43700.02</v>
      </c>
      <c r="K25" s="558">
        <f t="shared" si="10"/>
        <v>-41882.800999999999</v>
      </c>
      <c r="M25" s="384" t="s">
        <v>46</v>
      </c>
      <c r="N25" s="151">
        <v>648.20000000000005</v>
      </c>
      <c r="O25" s="155">
        <v>-22339.69</v>
      </c>
      <c r="P25" s="130">
        <f t="shared" si="5"/>
        <v>-21691.489999999998</v>
      </c>
      <c r="Q25" s="151">
        <v>0</v>
      </c>
      <c r="R25" s="155">
        <v>-19887</v>
      </c>
      <c r="S25" s="130">
        <f t="shared" si="6"/>
        <v>-19887</v>
      </c>
      <c r="T25" s="151">
        <v>594.5</v>
      </c>
      <c r="U25" s="155">
        <v>-19319</v>
      </c>
      <c r="V25" s="130">
        <f t="shared" si="7"/>
        <v>-18724.5</v>
      </c>
      <c r="X25"/>
      <c r="Y25"/>
      <c r="Z25"/>
      <c r="AA25"/>
      <c r="AB25"/>
      <c r="AC25"/>
      <c r="AD25"/>
      <c r="AE25"/>
      <c r="AF25"/>
      <c r="AG25"/>
      <c r="AH25"/>
    </row>
    <row r="26" spans="1:34" ht="15" customHeight="1">
      <c r="B26" s="383" t="s">
        <v>47</v>
      </c>
      <c r="C26" s="67">
        <v>731</v>
      </c>
      <c r="D26" s="538">
        <v>-14564.17</v>
      </c>
      <c r="E26" s="236">
        <f t="shared" si="8"/>
        <v>-13833.17</v>
      </c>
      <c r="F26" s="67">
        <v>1551.19</v>
      </c>
      <c r="G26" s="538">
        <v>-35157.17</v>
      </c>
      <c r="H26" s="236">
        <f t="shared" si="9"/>
        <v>-33605.979999999996</v>
      </c>
      <c r="I26" s="67">
        <v>5022.3959999999997</v>
      </c>
      <c r="J26" s="241">
        <v>-50570.873900000101</v>
      </c>
      <c r="K26" s="558">
        <f t="shared" si="10"/>
        <v>-45548.4779000001</v>
      </c>
      <c r="M26" s="384" t="s">
        <v>47</v>
      </c>
      <c r="N26" s="151">
        <v>141.30000000000001</v>
      </c>
      <c r="O26" s="155">
        <v>-23732.78</v>
      </c>
      <c r="P26" s="130">
        <f t="shared" si="5"/>
        <v>-23591.48</v>
      </c>
      <c r="Q26" s="151">
        <v>0</v>
      </c>
      <c r="R26" s="155">
        <v>-25461.4</v>
      </c>
      <c r="S26" s="130">
        <f t="shared" si="6"/>
        <v>-25461.4</v>
      </c>
      <c r="T26" s="151">
        <v>666.8</v>
      </c>
      <c r="U26" s="155">
        <v>0</v>
      </c>
      <c r="V26" s="130">
        <f t="shared" si="7"/>
        <v>666.8</v>
      </c>
      <c r="X26"/>
      <c r="Y26"/>
      <c r="Z26"/>
      <c r="AA26"/>
      <c r="AB26"/>
      <c r="AC26"/>
      <c r="AD26"/>
      <c r="AE26"/>
      <c r="AF26"/>
      <c r="AG26"/>
      <c r="AH26"/>
    </row>
    <row r="27" spans="1:34" ht="15" customHeight="1">
      <c r="B27" s="383" t="s">
        <v>48</v>
      </c>
      <c r="C27" s="67">
        <v>0</v>
      </c>
      <c r="D27" s="538">
        <v>-9500.9410000000207</v>
      </c>
      <c r="E27" s="236">
        <f t="shared" si="8"/>
        <v>-9500.9410000000207</v>
      </c>
      <c r="F27" s="67">
        <v>609.35</v>
      </c>
      <c r="G27" s="538">
        <v>-40237.300000000003</v>
      </c>
      <c r="H27" s="236">
        <f t="shared" si="9"/>
        <v>-39627.950000000004</v>
      </c>
      <c r="I27" s="67">
        <v>9590.2599999999984</v>
      </c>
      <c r="J27" s="241">
        <v>-28953.954000000002</v>
      </c>
      <c r="K27" s="558">
        <f t="shared" si="10"/>
        <v>-19363.694000000003</v>
      </c>
      <c r="M27" s="384" t="s">
        <v>48</v>
      </c>
      <c r="N27" s="151">
        <v>1929.6</v>
      </c>
      <c r="O27" s="155">
        <v>-15302.1</v>
      </c>
      <c r="P27" s="130">
        <f t="shared" si="5"/>
        <v>-13372.5</v>
      </c>
      <c r="Q27" s="151">
        <v>463.4</v>
      </c>
      <c r="R27" s="155">
        <v>-14306.57</v>
      </c>
      <c r="S27" s="130">
        <f t="shared" si="6"/>
        <v>-13843.17</v>
      </c>
      <c r="T27" s="151">
        <v>922.2</v>
      </c>
      <c r="U27" s="155">
        <v>0</v>
      </c>
      <c r="V27" s="130">
        <f t="shared" si="7"/>
        <v>922.2</v>
      </c>
      <c r="X27"/>
      <c r="Y27"/>
      <c r="Z27"/>
      <c r="AA27"/>
      <c r="AB27"/>
      <c r="AC27"/>
      <c r="AD27"/>
      <c r="AE27"/>
      <c r="AF27"/>
      <c r="AG27"/>
      <c r="AH27"/>
    </row>
    <row r="28" spans="1:34" ht="15" customHeight="1">
      <c r="B28" s="383" t="s">
        <v>49</v>
      </c>
      <c r="C28" s="67">
        <v>0</v>
      </c>
      <c r="D28" s="538">
        <v>-13245.582</v>
      </c>
      <c r="E28" s="236">
        <f t="shared" si="8"/>
        <v>-13245.582</v>
      </c>
      <c r="F28" s="67">
        <v>0</v>
      </c>
      <c r="G28" s="538">
        <v>-36278.21</v>
      </c>
      <c r="H28" s="236">
        <f t="shared" si="9"/>
        <v>-36278.21</v>
      </c>
      <c r="I28" s="67">
        <v>0</v>
      </c>
      <c r="J28" s="241">
        <v>-31925.027999999998</v>
      </c>
      <c r="K28" s="558">
        <f t="shared" si="10"/>
        <v>-31925.027999999998</v>
      </c>
      <c r="M28" s="384" t="s">
        <v>49</v>
      </c>
      <c r="N28" s="151">
        <v>6569.6</v>
      </c>
      <c r="O28" s="155">
        <v>-12891</v>
      </c>
      <c r="P28" s="130">
        <f t="shared" si="5"/>
        <v>-6321.4</v>
      </c>
      <c r="Q28" s="151">
        <v>814.2</v>
      </c>
      <c r="R28" s="155">
        <v>-2109.5</v>
      </c>
      <c r="S28" s="130">
        <f t="shared" si="6"/>
        <v>-1295.3</v>
      </c>
      <c r="T28" s="151">
        <v>600.70000000000005</v>
      </c>
      <c r="U28" s="155">
        <v>-2428.52</v>
      </c>
      <c r="V28" s="130">
        <f t="shared" si="7"/>
        <v>-1827.82</v>
      </c>
      <c r="X28"/>
      <c r="Y28"/>
      <c r="Z28"/>
      <c r="AA28"/>
      <c r="AB28"/>
      <c r="AC28"/>
      <c r="AD28"/>
      <c r="AE28"/>
      <c r="AF28"/>
      <c r="AG28"/>
      <c r="AH28"/>
    </row>
    <row r="29" spans="1:34" ht="15" customHeight="1">
      <c r="B29" s="383" t="s">
        <v>50</v>
      </c>
      <c r="C29" s="67">
        <v>0</v>
      </c>
      <c r="D29" s="538">
        <v>-33674.383000000002</v>
      </c>
      <c r="E29" s="236">
        <f t="shared" si="8"/>
        <v>-33674.383000000002</v>
      </c>
      <c r="F29" s="67">
        <v>0</v>
      </c>
      <c r="G29" s="538">
        <v>-21482.720000000001</v>
      </c>
      <c r="H29" s="236">
        <f t="shared" si="9"/>
        <v>-21482.720000000001</v>
      </c>
      <c r="I29" s="67">
        <v>0</v>
      </c>
      <c r="J29" s="241">
        <v>-26183.364000000001</v>
      </c>
      <c r="K29" s="558">
        <f t="shared" si="10"/>
        <v>-26183.364000000001</v>
      </c>
      <c r="M29" s="384" t="s">
        <v>50</v>
      </c>
      <c r="N29" s="151">
        <v>9954.9</v>
      </c>
      <c r="O29" s="155">
        <v>-2886.4</v>
      </c>
      <c r="P29" s="130">
        <f t="shared" si="5"/>
        <v>7068.5</v>
      </c>
      <c r="Q29" s="151">
        <v>8634.24</v>
      </c>
      <c r="R29" s="155">
        <v>-374.4</v>
      </c>
      <c r="S29" s="130">
        <f t="shared" si="6"/>
        <v>8259.84</v>
      </c>
      <c r="T29" s="151">
        <v>0</v>
      </c>
      <c r="U29" s="155">
        <v>-7314.61</v>
      </c>
      <c r="V29" s="130">
        <f t="shared" si="7"/>
        <v>-7314.61</v>
      </c>
      <c r="X29"/>
      <c r="Y29"/>
      <c r="Z29"/>
      <c r="AA29"/>
      <c r="AB29"/>
      <c r="AC29"/>
      <c r="AD29"/>
      <c r="AE29"/>
      <c r="AF29"/>
      <c r="AG29"/>
      <c r="AH29"/>
    </row>
    <row r="30" spans="1:34" ht="15" customHeight="1">
      <c r="B30" s="383" t="s">
        <v>51</v>
      </c>
      <c r="C30" s="67">
        <v>0</v>
      </c>
      <c r="D30" s="538">
        <v>-38567.773999999998</v>
      </c>
      <c r="E30" s="236">
        <f t="shared" si="8"/>
        <v>-38567.773999999998</v>
      </c>
      <c r="F30" s="67">
        <v>2.44</v>
      </c>
      <c r="G30" s="538">
        <v>-26013.52</v>
      </c>
      <c r="H30" s="236">
        <f t="shared" si="9"/>
        <v>-26011.08</v>
      </c>
      <c r="I30" s="67">
        <v>10774.772999999997</v>
      </c>
      <c r="J30" s="241">
        <v>-25977.988000000001</v>
      </c>
      <c r="K30" s="558">
        <f t="shared" si="10"/>
        <v>-15203.215000000004</v>
      </c>
      <c r="M30" s="384" t="s">
        <v>51</v>
      </c>
      <c r="N30" s="151">
        <v>8315.6</v>
      </c>
      <c r="O30" s="155">
        <v>-950.7</v>
      </c>
      <c r="P30" s="130">
        <f t="shared" si="5"/>
        <v>7364.9000000000005</v>
      </c>
      <c r="Q30" s="151">
        <v>10938.52</v>
      </c>
      <c r="R30" s="155">
        <v>-270</v>
      </c>
      <c r="S30" s="130">
        <f t="shared" si="6"/>
        <v>10668.52</v>
      </c>
      <c r="T30" s="151">
        <v>425.65</v>
      </c>
      <c r="U30" s="155">
        <v>-6213.59</v>
      </c>
      <c r="V30" s="130">
        <f t="shared" si="7"/>
        <v>-5787.9400000000005</v>
      </c>
      <c r="X30"/>
      <c r="Y30"/>
      <c r="Z30"/>
      <c r="AA30"/>
      <c r="AB30"/>
      <c r="AC30"/>
      <c r="AD30"/>
      <c r="AE30"/>
      <c r="AF30"/>
      <c r="AG30"/>
      <c r="AH30"/>
    </row>
    <row r="31" spans="1:34" ht="15" customHeight="1">
      <c r="B31" s="383" t="s">
        <v>65</v>
      </c>
      <c r="C31" s="67">
        <v>21</v>
      </c>
      <c r="D31" s="538">
        <v>-45701.253999999899</v>
      </c>
      <c r="E31" s="236">
        <f t="shared" si="8"/>
        <v>-45680.253999999899</v>
      </c>
      <c r="F31" s="67">
        <v>0</v>
      </c>
      <c r="G31" s="538">
        <v>-20429.48</v>
      </c>
      <c r="H31" s="236">
        <f t="shared" si="9"/>
        <v>-20429.48</v>
      </c>
      <c r="I31" s="67">
        <v>14734.901999999998</v>
      </c>
      <c r="J31" s="241">
        <v>-29086.237000000001</v>
      </c>
      <c r="K31" s="558">
        <f t="shared" si="10"/>
        <v>-14351.335000000003</v>
      </c>
      <c r="M31" s="384" t="s">
        <v>65</v>
      </c>
      <c r="N31" s="151">
        <v>4742.41</v>
      </c>
      <c r="O31" s="155">
        <v>-463.1</v>
      </c>
      <c r="P31" s="130">
        <f t="shared" si="5"/>
        <v>4279.3099999999995</v>
      </c>
      <c r="Q31" s="151">
        <v>3164.38</v>
      </c>
      <c r="R31" s="155">
        <v>-2660</v>
      </c>
      <c r="S31" s="130">
        <f t="shared" si="6"/>
        <v>504.38000000000011</v>
      </c>
      <c r="T31" s="151">
        <v>896.14</v>
      </c>
      <c r="U31" s="155">
        <v>-8324.0300000000007</v>
      </c>
      <c r="V31" s="130">
        <f t="shared" si="7"/>
        <v>-7427.89</v>
      </c>
      <c r="X31"/>
      <c r="Y31"/>
      <c r="Z31"/>
      <c r="AA31"/>
      <c r="AB31"/>
      <c r="AC31"/>
      <c r="AD31"/>
      <c r="AE31"/>
      <c r="AF31"/>
      <c r="AG31"/>
      <c r="AH31"/>
    </row>
    <row r="32" spans="1:34" ht="15" customHeight="1">
      <c r="B32" s="383" t="s">
        <v>53</v>
      </c>
      <c r="C32" s="67">
        <v>0</v>
      </c>
      <c r="D32" s="538">
        <v>-41156.847999999998</v>
      </c>
      <c r="E32" s="236">
        <f t="shared" si="8"/>
        <v>-41156.847999999998</v>
      </c>
      <c r="F32" s="67">
        <v>0</v>
      </c>
      <c r="G32" s="538">
        <v>-25370.5</v>
      </c>
      <c r="H32" s="236">
        <f t="shared" si="9"/>
        <v>-25370.5</v>
      </c>
      <c r="I32" s="67">
        <v>8001.529000000005</v>
      </c>
      <c r="J32" s="241">
        <v>-42772.19</v>
      </c>
      <c r="K32" s="558">
        <f t="shared" si="10"/>
        <v>-34770.661</v>
      </c>
      <c r="M32" s="384" t="s">
        <v>53</v>
      </c>
      <c r="N32" s="151">
        <v>3404.7</v>
      </c>
      <c r="O32" s="155">
        <v>-2974</v>
      </c>
      <c r="P32" s="130">
        <f t="shared" si="5"/>
        <v>430.69999999999982</v>
      </c>
      <c r="Q32" s="151">
        <v>2267.29</v>
      </c>
      <c r="R32" s="155">
        <v>-114</v>
      </c>
      <c r="S32" s="130">
        <f t="shared" si="6"/>
        <v>2153.29</v>
      </c>
      <c r="T32" s="151">
        <v>1684.93</v>
      </c>
      <c r="U32" s="155">
        <v>-9048.57</v>
      </c>
      <c r="V32" s="130">
        <f t="shared" si="7"/>
        <v>-7363.6399999999994</v>
      </c>
      <c r="X32"/>
      <c r="Y32"/>
      <c r="Z32"/>
      <c r="AA32"/>
      <c r="AB32"/>
      <c r="AC32"/>
      <c r="AD32"/>
      <c r="AE32"/>
      <c r="AF32"/>
      <c r="AG32"/>
      <c r="AH32"/>
    </row>
    <row r="33" spans="2:34" ht="15" customHeight="1">
      <c r="B33" s="383" t="s">
        <v>54</v>
      </c>
      <c r="C33" s="67">
        <v>0</v>
      </c>
      <c r="D33" s="538">
        <v>-37086.987999999998</v>
      </c>
      <c r="E33" s="236">
        <f t="shared" si="8"/>
        <v>-37086.987999999998</v>
      </c>
      <c r="F33" s="67">
        <v>0</v>
      </c>
      <c r="G33" s="538">
        <v>-27117.69</v>
      </c>
      <c r="H33" s="236">
        <f t="shared" si="9"/>
        <v>-27117.69</v>
      </c>
      <c r="I33" s="67">
        <v>15331.252000000002</v>
      </c>
      <c r="J33" s="60">
        <v>-38504.940999999999</v>
      </c>
      <c r="K33" s="558">
        <f t="shared" si="10"/>
        <v>-23173.688999999998</v>
      </c>
      <c r="M33" s="384" t="s">
        <v>54</v>
      </c>
      <c r="N33" s="151">
        <v>5889.2</v>
      </c>
      <c r="O33" s="155">
        <v>-2557.8000000000002</v>
      </c>
      <c r="P33" s="130">
        <f t="shared" si="5"/>
        <v>3331.3999999999996</v>
      </c>
      <c r="Q33" s="151">
        <v>1420.5</v>
      </c>
      <c r="R33" s="155">
        <v>-8326.16</v>
      </c>
      <c r="S33" s="130">
        <f t="shared" si="6"/>
        <v>-6905.66</v>
      </c>
      <c r="T33" s="151">
        <v>421.64</v>
      </c>
      <c r="U33" s="155">
        <v>-9388.24</v>
      </c>
      <c r="V33" s="130">
        <f t="shared" si="7"/>
        <v>-8966.6</v>
      </c>
      <c r="X33"/>
      <c r="Y33"/>
      <c r="Z33"/>
      <c r="AA33"/>
      <c r="AB33"/>
      <c r="AC33"/>
      <c r="AD33"/>
      <c r="AE33"/>
      <c r="AF33"/>
      <c r="AG33"/>
      <c r="AH33"/>
    </row>
    <row r="34" spans="2:34" ht="15" customHeight="1" thickBot="1">
      <c r="B34" s="385" t="s">
        <v>55</v>
      </c>
      <c r="C34" s="120">
        <v>0</v>
      </c>
      <c r="D34" s="539">
        <v>-26449.755000000001</v>
      </c>
      <c r="E34" s="236">
        <f>+C34+D34</f>
        <v>-26449.755000000001</v>
      </c>
      <c r="F34" s="120">
        <v>0</v>
      </c>
      <c r="G34" s="539">
        <v>-11842.5</v>
      </c>
      <c r="H34" s="236">
        <f>+F34+G34</f>
        <v>-11842.5</v>
      </c>
      <c r="I34" s="120">
        <v>6836.6910000000207</v>
      </c>
      <c r="J34" s="63">
        <v>-19030.113000000001</v>
      </c>
      <c r="K34" s="556">
        <f t="shared" si="10"/>
        <v>-12193.42199999998</v>
      </c>
      <c r="M34" s="388" t="s">
        <v>55</v>
      </c>
      <c r="N34" s="152">
        <v>2911.7</v>
      </c>
      <c r="O34" s="156">
        <v>-2112.6999999999998</v>
      </c>
      <c r="P34" s="182">
        <f t="shared" si="5"/>
        <v>799</v>
      </c>
      <c r="Q34" s="152">
        <v>1684.59</v>
      </c>
      <c r="R34" s="156">
        <v>-7717</v>
      </c>
      <c r="S34" s="182">
        <f t="shared" si="6"/>
        <v>-6032.41</v>
      </c>
      <c r="T34" s="152">
        <v>1338.73</v>
      </c>
      <c r="U34" s="156">
        <v>-9050.2199999999993</v>
      </c>
      <c r="V34" s="182">
        <f t="shared" si="7"/>
        <v>-7711.49</v>
      </c>
      <c r="X34"/>
      <c r="Y34"/>
      <c r="Z34"/>
      <c r="AA34"/>
      <c r="AB34"/>
      <c r="AC34"/>
      <c r="AD34"/>
      <c r="AE34"/>
      <c r="AF34"/>
      <c r="AG34"/>
      <c r="AH34"/>
    </row>
    <row r="35" spans="2:34" s="73" customFormat="1" ht="20.100000000000001" customHeight="1" thickBot="1">
      <c r="B35" s="387" t="s">
        <v>35</v>
      </c>
      <c r="C35" s="121">
        <f t="shared" ref="C35:E35" si="11">SUM(C23:C34)</f>
        <v>6573.9029999999993</v>
      </c>
      <c r="D35" s="540">
        <f t="shared" si="11"/>
        <v>-317623.80199999991</v>
      </c>
      <c r="E35" s="122">
        <f t="shared" si="11"/>
        <v>-311049.92499999993</v>
      </c>
      <c r="F35" s="121">
        <f t="shared" ref="F35:K35" si="12">SUM(F23:F34)</f>
        <v>13249.11</v>
      </c>
      <c r="G35" s="540">
        <f t="shared" si="12"/>
        <v>-325783.39</v>
      </c>
      <c r="H35" s="122">
        <f t="shared" si="12"/>
        <v>-312534.25000000006</v>
      </c>
      <c r="I35" s="121">
        <f t="shared" si="12"/>
        <v>77322.904000000024</v>
      </c>
      <c r="J35" s="540">
        <f t="shared" si="12"/>
        <v>-427344.03490000009</v>
      </c>
      <c r="K35" s="75">
        <f t="shared" si="12"/>
        <v>-350021.13090000016</v>
      </c>
      <c r="M35" s="389" t="s">
        <v>35</v>
      </c>
      <c r="N35" s="121">
        <f>SUM(N23:N34)</f>
        <v>54928.509999999995</v>
      </c>
      <c r="O35" s="122">
        <f>SUM(O23:O34)</f>
        <v>-106331.22</v>
      </c>
      <c r="P35" s="132">
        <f>N35+O35</f>
        <v>-51402.710000000006</v>
      </c>
      <c r="Q35" s="121">
        <f>SUM(Q23:Q34)</f>
        <v>34393.120000000003</v>
      </c>
      <c r="R35" s="122">
        <f>SUM(R23:R34)</f>
        <v>-83404.23000000001</v>
      </c>
      <c r="S35" s="132">
        <f>Q35+R35</f>
        <v>-49011.110000000008</v>
      </c>
      <c r="T35" s="121">
        <f>SUM(T23:T34)</f>
        <v>8736.2900000000009</v>
      </c>
      <c r="U35" s="122">
        <f>SUM(U23:U34)</f>
        <v>-124963.56000000001</v>
      </c>
      <c r="V35" s="132">
        <f>T35+U35</f>
        <v>-116227.27000000002</v>
      </c>
      <c r="X35"/>
      <c r="Y35"/>
      <c r="Z35"/>
      <c r="AA35"/>
      <c r="AB35"/>
      <c r="AC35"/>
      <c r="AD35"/>
      <c r="AE35"/>
      <c r="AF35"/>
      <c r="AG35"/>
      <c r="AH35"/>
    </row>
    <row r="36" spans="2:34" ht="15" customHeight="1" thickBot="1">
      <c r="X36"/>
      <c r="Y36"/>
      <c r="Z36"/>
      <c r="AA36"/>
      <c r="AB36"/>
      <c r="AC36"/>
      <c r="AD36"/>
      <c r="AE36"/>
      <c r="AF36"/>
      <c r="AG36"/>
      <c r="AH36"/>
    </row>
    <row r="37" spans="2:34" ht="20.100000000000001" customHeight="1">
      <c r="B37" s="679" t="s">
        <v>64</v>
      </c>
      <c r="C37" s="671">
        <v>2014</v>
      </c>
      <c r="D37" s="672"/>
      <c r="E37" s="673"/>
      <c r="F37" s="671">
        <v>2015</v>
      </c>
      <c r="G37" s="672"/>
      <c r="H37" s="673"/>
      <c r="I37" s="671">
        <v>2016</v>
      </c>
      <c r="J37" s="672"/>
      <c r="K37" s="673"/>
      <c r="M37" s="681" t="s">
        <v>64</v>
      </c>
      <c r="N37" s="674">
        <v>2002</v>
      </c>
      <c r="O37" s="675"/>
      <c r="P37" s="676"/>
      <c r="Q37" s="674">
        <v>2003</v>
      </c>
      <c r="R37" s="675"/>
      <c r="S37" s="676"/>
      <c r="T37" s="674">
        <v>2004</v>
      </c>
      <c r="U37" s="675"/>
      <c r="V37" s="676"/>
      <c r="X37"/>
      <c r="Y37"/>
      <c r="Z37"/>
      <c r="AA37"/>
      <c r="AB37"/>
      <c r="AC37"/>
      <c r="AD37"/>
      <c r="AE37"/>
      <c r="AF37"/>
      <c r="AG37"/>
      <c r="AH37"/>
    </row>
    <row r="38" spans="2:34" ht="20.100000000000001" customHeight="1" thickBot="1">
      <c r="B38" s="680"/>
      <c r="C38" s="390" t="s">
        <v>69</v>
      </c>
      <c r="D38" s="391" t="s">
        <v>70</v>
      </c>
      <c r="E38" s="392" t="s">
        <v>66</v>
      </c>
      <c r="F38" s="390" t="s">
        <v>69</v>
      </c>
      <c r="G38" s="391" t="s">
        <v>70</v>
      </c>
      <c r="H38" s="392" t="s">
        <v>66</v>
      </c>
      <c r="I38" s="390" t="s">
        <v>69</v>
      </c>
      <c r="J38" s="391" t="s">
        <v>70</v>
      </c>
      <c r="K38" s="392" t="s">
        <v>66</v>
      </c>
      <c r="M38" s="682"/>
      <c r="N38" s="393" t="s">
        <v>69</v>
      </c>
      <c r="O38" s="394" t="s">
        <v>70</v>
      </c>
      <c r="P38" s="395" t="s">
        <v>66</v>
      </c>
      <c r="Q38" s="396" t="s">
        <v>69</v>
      </c>
      <c r="R38" s="394" t="s">
        <v>70</v>
      </c>
      <c r="S38" s="395" t="s">
        <v>66</v>
      </c>
      <c r="T38" s="393" t="s">
        <v>69</v>
      </c>
      <c r="U38" s="394" t="s">
        <v>70</v>
      </c>
      <c r="V38" s="395" t="s">
        <v>66</v>
      </c>
      <c r="X38"/>
      <c r="Y38"/>
      <c r="Z38"/>
      <c r="AA38"/>
      <c r="AB38"/>
      <c r="AC38"/>
      <c r="AD38"/>
      <c r="AE38"/>
      <c r="AF38"/>
      <c r="AG38"/>
      <c r="AH38"/>
    </row>
    <row r="39" spans="2:34" ht="15" customHeight="1">
      <c r="B39" s="386" t="s">
        <v>44</v>
      </c>
      <c r="C39" s="72">
        <v>19980.310000000001</v>
      </c>
      <c r="D39" s="123"/>
      <c r="E39" s="236">
        <f>+C39+D39</f>
        <v>19980.310000000001</v>
      </c>
      <c r="F39" s="72">
        <v>434</v>
      </c>
      <c r="G39" s="123">
        <v>-7730.58</v>
      </c>
      <c r="H39" s="236">
        <f>+F39+G39</f>
        <v>-7296.58</v>
      </c>
      <c r="I39" s="72">
        <v>25094.55</v>
      </c>
      <c r="J39" s="123">
        <v>-3822.37</v>
      </c>
      <c r="K39" s="236">
        <f>+I39+J39</f>
        <v>21272.18</v>
      </c>
      <c r="M39" s="384" t="s">
        <v>44</v>
      </c>
      <c r="N39" s="150">
        <v>739.86</v>
      </c>
      <c r="O39" s="154">
        <v>-3577.11</v>
      </c>
      <c r="P39" s="129">
        <f t="shared" ref="P39:P50" si="13">N39+O39</f>
        <v>-2837.25</v>
      </c>
      <c r="Q39" s="150">
        <v>1120</v>
      </c>
      <c r="R39" s="154">
        <v>-1613</v>
      </c>
      <c r="S39" s="129">
        <f t="shared" ref="S39:S51" si="14">Q39+R39</f>
        <v>-493</v>
      </c>
      <c r="T39" s="150">
        <v>188.7</v>
      </c>
      <c r="U39" s="154">
        <v>-32500.7</v>
      </c>
      <c r="V39" s="129">
        <f t="shared" ref="V39:V50" si="15">T39+U39</f>
        <v>-32312</v>
      </c>
      <c r="X39"/>
      <c r="Y39"/>
      <c r="Z39"/>
      <c r="AA39"/>
      <c r="AB39"/>
      <c r="AC39"/>
      <c r="AD39"/>
      <c r="AE39"/>
      <c r="AF39"/>
      <c r="AG39"/>
      <c r="AH39"/>
    </row>
    <row r="40" spans="2:34" ht="15" customHeight="1">
      <c r="B40" s="383" t="s">
        <v>45</v>
      </c>
      <c r="C40" s="67">
        <v>30538.87</v>
      </c>
      <c r="D40" s="60"/>
      <c r="E40" s="236">
        <f t="shared" ref="E40:E49" si="16">+C40+D40</f>
        <v>30538.87</v>
      </c>
      <c r="F40" s="67">
        <v>5800.2</v>
      </c>
      <c r="G40" s="241">
        <v>-1395.36</v>
      </c>
      <c r="H40" s="236">
        <f t="shared" ref="H40:H50" si="17">+F40+G40</f>
        <v>4404.84</v>
      </c>
      <c r="I40" s="67">
        <v>13.09</v>
      </c>
      <c r="J40" s="241">
        <v>-19445.39</v>
      </c>
      <c r="K40" s="236">
        <f t="shared" ref="K40:K50" si="18">+I40+J40</f>
        <v>-19432.3</v>
      </c>
      <c r="M40" s="384" t="s">
        <v>45</v>
      </c>
      <c r="N40" s="151">
        <v>0</v>
      </c>
      <c r="O40" s="155">
        <v>-10035</v>
      </c>
      <c r="P40" s="130">
        <f t="shared" si="13"/>
        <v>-10035</v>
      </c>
      <c r="Q40" s="151">
        <v>0</v>
      </c>
      <c r="R40" s="155">
        <v>0</v>
      </c>
      <c r="S40" s="130">
        <f t="shared" si="14"/>
        <v>0</v>
      </c>
      <c r="T40" s="151">
        <v>111</v>
      </c>
      <c r="U40" s="155">
        <v>-34321.81</v>
      </c>
      <c r="V40" s="130">
        <f t="shared" si="15"/>
        <v>-34210.81</v>
      </c>
      <c r="X40"/>
      <c r="Y40"/>
      <c r="Z40"/>
      <c r="AA40"/>
      <c r="AB40"/>
      <c r="AC40"/>
      <c r="AD40"/>
      <c r="AE40"/>
      <c r="AF40"/>
      <c r="AG40"/>
      <c r="AH40"/>
    </row>
    <row r="41" spans="2:34" ht="15" customHeight="1">
      <c r="B41" s="383" t="s">
        <v>46</v>
      </c>
      <c r="C41" s="67">
        <v>24484.59</v>
      </c>
      <c r="D41" s="60"/>
      <c r="E41" s="236">
        <f t="shared" si="16"/>
        <v>24484.59</v>
      </c>
      <c r="F41" s="67">
        <v>5074.91</v>
      </c>
      <c r="G41" s="60">
        <v>-3438.77</v>
      </c>
      <c r="H41" s="236">
        <f t="shared" si="17"/>
        <v>1636.1399999999999</v>
      </c>
      <c r="I41" s="67">
        <v>510</v>
      </c>
      <c r="J41" s="60">
        <v>-27570.41</v>
      </c>
      <c r="K41" s="236">
        <f t="shared" si="18"/>
        <v>-27060.41</v>
      </c>
      <c r="M41" s="384" t="s">
        <v>46</v>
      </c>
      <c r="N41" s="151">
        <v>85.79</v>
      </c>
      <c r="O41" s="155">
        <v>-12995</v>
      </c>
      <c r="P41" s="130">
        <f t="shared" si="13"/>
        <v>-12909.21</v>
      </c>
      <c r="Q41" s="151">
        <v>0</v>
      </c>
      <c r="R41" s="155">
        <v>-24329.7</v>
      </c>
      <c r="S41" s="130">
        <f t="shared" si="14"/>
        <v>-24329.7</v>
      </c>
      <c r="T41" s="151">
        <v>0</v>
      </c>
      <c r="U41" s="155">
        <v>-39630.5</v>
      </c>
      <c r="V41" s="130">
        <f t="shared" si="15"/>
        <v>-39630.5</v>
      </c>
      <c r="X41"/>
      <c r="Y41"/>
      <c r="Z41"/>
      <c r="AA41"/>
      <c r="AB41"/>
      <c r="AC41"/>
      <c r="AD41"/>
      <c r="AE41"/>
      <c r="AF41"/>
      <c r="AG41"/>
      <c r="AH41"/>
    </row>
    <row r="42" spans="2:34" ht="15" customHeight="1">
      <c r="B42" s="383" t="s">
        <v>47</v>
      </c>
      <c r="C42" s="67">
        <v>23980.17</v>
      </c>
      <c r="D42" s="241"/>
      <c r="E42" s="236">
        <f t="shared" si="16"/>
        <v>23980.17</v>
      </c>
      <c r="F42" s="67">
        <v>0</v>
      </c>
      <c r="G42" s="241">
        <v>-12467.07</v>
      </c>
      <c r="H42" s="236">
        <f t="shared" si="17"/>
        <v>-12467.07</v>
      </c>
      <c r="I42" s="67">
        <v>60</v>
      </c>
      <c r="J42" s="241">
        <v>-37186.379999999997</v>
      </c>
      <c r="K42" s="236">
        <f t="shared" si="18"/>
        <v>-37126.379999999997</v>
      </c>
      <c r="M42" s="384" t="s">
        <v>47</v>
      </c>
      <c r="N42" s="151">
        <v>0</v>
      </c>
      <c r="O42" s="155">
        <v>-7502</v>
      </c>
      <c r="P42" s="130">
        <f t="shared" si="13"/>
        <v>-7502</v>
      </c>
      <c r="Q42" s="151">
        <v>0</v>
      </c>
      <c r="R42" s="155">
        <v>-13117</v>
      </c>
      <c r="S42" s="130">
        <f t="shared" si="14"/>
        <v>-13117</v>
      </c>
      <c r="T42" s="151">
        <v>5</v>
      </c>
      <c r="U42" s="155">
        <v>-17660.3</v>
      </c>
      <c r="V42" s="130">
        <f t="shared" si="15"/>
        <v>-17655.3</v>
      </c>
      <c r="X42"/>
      <c r="Y42"/>
      <c r="Z42"/>
      <c r="AA42"/>
      <c r="AB42"/>
      <c r="AC42"/>
      <c r="AD42"/>
      <c r="AE42"/>
      <c r="AF42"/>
      <c r="AG42"/>
      <c r="AH42"/>
    </row>
    <row r="43" spans="2:34" ht="15" customHeight="1">
      <c r="B43" s="383" t="s">
        <v>48</v>
      </c>
      <c r="C43" s="67">
        <v>49868.97</v>
      </c>
      <c r="D43" s="241"/>
      <c r="E43" s="236">
        <f t="shared" si="16"/>
        <v>49868.97</v>
      </c>
      <c r="F43" s="67">
        <v>2774</v>
      </c>
      <c r="G43" s="241">
        <v>-4823.34</v>
      </c>
      <c r="H43" s="236">
        <f t="shared" si="17"/>
        <v>-2049.34</v>
      </c>
      <c r="I43" s="67">
        <v>137.53</v>
      </c>
      <c r="J43" s="241">
        <v>-22606.03</v>
      </c>
      <c r="K43" s="236">
        <f t="shared" si="18"/>
        <v>-22468.5</v>
      </c>
      <c r="M43" s="384" t="s">
        <v>48</v>
      </c>
      <c r="N43" s="151">
        <v>0</v>
      </c>
      <c r="O43" s="155">
        <v>-1625</v>
      </c>
      <c r="P43" s="130">
        <f t="shared" si="13"/>
        <v>-1625</v>
      </c>
      <c r="Q43" s="151">
        <v>307</v>
      </c>
      <c r="R43" s="155">
        <v>-1986</v>
      </c>
      <c r="S43" s="130">
        <f t="shared" si="14"/>
        <v>-1679</v>
      </c>
      <c r="T43" s="151">
        <v>279.89999999999998</v>
      </c>
      <c r="U43" s="155">
        <v>-24885.55</v>
      </c>
      <c r="V43" s="130">
        <f t="shared" si="15"/>
        <v>-24605.649999999998</v>
      </c>
      <c r="X43"/>
      <c r="Y43"/>
      <c r="Z43"/>
      <c r="AA43"/>
      <c r="AB43"/>
      <c r="AC43"/>
      <c r="AD43"/>
      <c r="AE43"/>
      <c r="AF43"/>
      <c r="AG43"/>
      <c r="AH43"/>
    </row>
    <row r="44" spans="2:34" ht="15" customHeight="1">
      <c r="B44" s="383" t="s">
        <v>49</v>
      </c>
      <c r="C44" s="67">
        <v>30830.93</v>
      </c>
      <c r="D44" s="241"/>
      <c r="E44" s="236">
        <f t="shared" si="16"/>
        <v>30830.93</v>
      </c>
      <c r="F44" s="67">
        <v>3012.41</v>
      </c>
      <c r="G44" s="241">
        <v>-8131.94</v>
      </c>
      <c r="H44" s="236">
        <f t="shared" si="17"/>
        <v>-5119.53</v>
      </c>
      <c r="I44" s="67">
        <v>309.77</v>
      </c>
      <c r="J44" s="241">
        <v>-41855.449999999997</v>
      </c>
      <c r="K44" s="236">
        <f t="shared" si="18"/>
        <v>-41545.68</v>
      </c>
      <c r="M44" s="384" t="s">
        <v>49</v>
      </c>
      <c r="N44" s="151">
        <v>950</v>
      </c>
      <c r="O44" s="155">
        <v>-4308.45</v>
      </c>
      <c r="P44" s="130">
        <f t="shared" si="13"/>
        <v>-3358.45</v>
      </c>
      <c r="Q44" s="151">
        <v>0</v>
      </c>
      <c r="R44" s="155">
        <v>-5439</v>
      </c>
      <c r="S44" s="130">
        <f t="shared" si="14"/>
        <v>-5439</v>
      </c>
      <c r="T44" s="151">
        <v>0</v>
      </c>
      <c r="U44" s="155">
        <v>-18602.2</v>
      </c>
      <c r="V44" s="130">
        <f t="shared" si="15"/>
        <v>-18602.2</v>
      </c>
      <c r="X44"/>
      <c r="Y44"/>
      <c r="Z44"/>
      <c r="AA44"/>
      <c r="AB44"/>
      <c r="AC44"/>
      <c r="AD44"/>
      <c r="AE44"/>
      <c r="AF44"/>
      <c r="AG44"/>
      <c r="AH44"/>
    </row>
    <row r="45" spans="2:34" ht="15" customHeight="1">
      <c r="B45" s="383" t="s">
        <v>50</v>
      </c>
      <c r="C45" s="67">
        <v>2204.38</v>
      </c>
      <c r="D45" s="241"/>
      <c r="E45" s="236">
        <f t="shared" si="16"/>
        <v>2204.38</v>
      </c>
      <c r="F45" s="67">
        <v>13</v>
      </c>
      <c r="G45" s="241">
        <v>-24449.16</v>
      </c>
      <c r="H45" s="236">
        <f t="shared" si="17"/>
        <v>-24436.16</v>
      </c>
      <c r="I45" s="67">
        <v>3894.53</v>
      </c>
      <c r="J45" s="241">
        <v>-30388.03</v>
      </c>
      <c r="K45" s="236">
        <f t="shared" si="18"/>
        <v>-26493.5</v>
      </c>
      <c r="M45" s="384" t="s">
        <v>50</v>
      </c>
      <c r="N45" s="151">
        <v>3767.5</v>
      </c>
      <c r="O45" s="155">
        <v>-1115</v>
      </c>
      <c r="P45" s="130">
        <f t="shared" si="13"/>
        <v>2652.5</v>
      </c>
      <c r="Q45" s="151">
        <v>0</v>
      </c>
      <c r="R45" s="155">
        <v>-15804.6</v>
      </c>
      <c r="S45" s="130">
        <f t="shared" si="14"/>
        <v>-15804.6</v>
      </c>
      <c r="T45" s="151">
        <v>6563</v>
      </c>
      <c r="U45" s="155">
        <v>-5639.7</v>
      </c>
      <c r="V45" s="130">
        <f t="shared" si="15"/>
        <v>923.30000000000018</v>
      </c>
      <c r="X45"/>
      <c r="Y45"/>
      <c r="Z45"/>
      <c r="AA45"/>
      <c r="AB45"/>
      <c r="AC45"/>
      <c r="AD45"/>
      <c r="AE45"/>
      <c r="AF45"/>
      <c r="AG45"/>
      <c r="AH45"/>
    </row>
    <row r="46" spans="2:34" ht="15" customHeight="1">
      <c r="B46" s="383" t="s">
        <v>51</v>
      </c>
      <c r="C46" s="67">
        <v>10969.62</v>
      </c>
      <c r="D46" s="241">
        <v>-271.02</v>
      </c>
      <c r="E46" s="236">
        <f t="shared" si="16"/>
        <v>10698.6</v>
      </c>
      <c r="F46" s="67">
        <v>0</v>
      </c>
      <c r="G46" s="241">
        <v>-24006.27</v>
      </c>
      <c r="H46" s="236">
        <f t="shared" si="17"/>
        <v>-24006.27</v>
      </c>
      <c r="I46" s="67">
        <v>0</v>
      </c>
      <c r="J46" s="241">
        <v>-26200.95</v>
      </c>
      <c r="K46" s="236">
        <f t="shared" si="18"/>
        <v>-26200.95</v>
      </c>
      <c r="M46" s="384" t="s">
        <v>51</v>
      </c>
      <c r="N46" s="151">
        <v>6808</v>
      </c>
      <c r="O46" s="155">
        <v>-850</v>
      </c>
      <c r="P46" s="130">
        <f t="shared" si="13"/>
        <v>5958</v>
      </c>
      <c r="Q46" s="151">
        <v>0</v>
      </c>
      <c r="R46" s="155">
        <v>-19896.61</v>
      </c>
      <c r="S46" s="130">
        <f t="shared" si="14"/>
        <v>-19896.61</v>
      </c>
      <c r="T46" s="151">
        <v>7944</v>
      </c>
      <c r="U46" s="155">
        <v>-4912.0200000000004</v>
      </c>
      <c r="V46" s="130">
        <f t="shared" si="15"/>
        <v>3031.9799999999996</v>
      </c>
      <c r="X46"/>
      <c r="Y46"/>
      <c r="Z46"/>
      <c r="AA46"/>
      <c r="AB46"/>
      <c r="AC46"/>
      <c r="AD46"/>
      <c r="AE46"/>
      <c r="AF46"/>
      <c r="AG46"/>
      <c r="AH46"/>
    </row>
    <row r="47" spans="2:34" ht="15" customHeight="1">
      <c r="B47" s="383" t="s">
        <v>65</v>
      </c>
      <c r="C47" s="67">
        <v>0</v>
      </c>
      <c r="D47" s="60">
        <v>-4352.7700000000004</v>
      </c>
      <c r="E47" s="236">
        <f t="shared" si="16"/>
        <v>-4352.7700000000004</v>
      </c>
      <c r="F47" s="67">
        <v>0</v>
      </c>
      <c r="G47" s="60">
        <v>-33254.129999999997</v>
      </c>
      <c r="H47" s="236">
        <f t="shared" si="17"/>
        <v>-33254.129999999997</v>
      </c>
      <c r="I47" s="67">
        <v>0</v>
      </c>
      <c r="J47" s="241">
        <v>-44390.55</v>
      </c>
      <c r="K47" s="236">
        <f t="shared" si="18"/>
        <v>-44390.55</v>
      </c>
      <c r="M47" s="384" t="s">
        <v>65</v>
      </c>
      <c r="N47" s="151">
        <v>5576.84</v>
      </c>
      <c r="O47" s="157">
        <v>0</v>
      </c>
      <c r="P47" s="130">
        <f t="shared" si="13"/>
        <v>5576.84</v>
      </c>
      <c r="Q47" s="151">
        <v>473</v>
      </c>
      <c r="R47" s="155">
        <v>-23999.8</v>
      </c>
      <c r="S47" s="130">
        <f t="shared" si="14"/>
        <v>-23526.799999999999</v>
      </c>
      <c r="T47" s="151">
        <v>16582.2</v>
      </c>
      <c r="U47" s="155">
        <v>-3909.4</v>
      </c>
      <c r="V47" s="130">
        <f t="shared" si="15"/>
        <v>12672.800000000001</v>
      </c>
      <c r="X47"/>
      <c r="Y47"/>
      <c r="Z47"/>
      <c r="AA47"/>
      <c r="AB47"/>
      <c r="AC47"/>
      <c r="AD47"/>
      <c r="AE47"/>
      <c r="AF47"/>
      <c r="AG47"/>
      <c r="AH47"/>
    </row>
    <row r="48" spans="2:34" ht="15" customHeight="1">
      <c r="B48" s="383" t="s">
        <v>53</v>
      </c>
      <c r="C48" s="67">
        <v>0</v>
      </c>
      <c r="D48" s="241">
        <v>-40477.07</v>
      </c>
      <c r="E48" s="236">
        <f t="shared" si="16"/>
        <v>-40477.07</v>
      </c>
      <c r="F48" s="67">
        <v>0</v>
      </c>
      <c r="G48" s="241">
        <v>-12676.2</v>
      </c>
      <c r="H48" s="236">
        <f t="shared" si="17"/>
        <v>-12676.2</v>
      </c>
      <c r="I48" s="67">
        <v>0</v>
      </c>
      <c r="J48" s="241">
        <v>-57181.59</v>
      </c>
      <c r="K48" s="236">
        <f t="shared" si="18"/>
        <v>-57181.59</v>
      </c>
      <c r="M48" s="384" t="s">
        <v>53</v>
      </c>
      <c r="N48" s="151">
        <v>7719.5</v>
      </c>
      <c r="O48" s="155">
        <v>-1486.93</v>
      </c>
      <c r="P48" s="130">
        <f t="shared" si="13"/>
        <v>6232.57</v>
      </c>
      <c r="Q48" s="151">
        <v>366.9</v>
      </c>
      <c r="R48" s="155">
        <v>-32471.99</v>
      </c>
      <c r="S48" s="130">
        <f t="shared" si="14"/>
        <v>-32105.09</v>
      </c>
      <c r="T48" s="151">
        <v>16646.7</v>
      </c>
      <c r="U48" s="155">
        <v>-1697.2</v>
      </c>
      <c r="V48" s="130">
        <f t="shared" si="15"/>
        <v>14949.5</v>
      </c>
      <c r="X48"/>
      <c r="Y48"/>
      <c r="Z48"/>
      <c r="AA48"/>
      <c r="AB48"/>
      <c r="AC48"/>
      <c r="AD48"/>
      <c r="AE48"/>
      <c r="AF48"/>
      <c r="AG48"/>
      <c r="AH48"/>
    </row>
    <row r="49" spans="2:34" ht="15" customHeight="1">
      <c r="B49" s="383" t="s">
        <v>54</v>
      </c>
      <c r="C49" s="67">
        <v>0</v>
      </c>
      <c r="D49" s="60">
        <v>-43846.22</v>
      </c>
      <c r="E49" s="236">
        <f t="shared" si="16"/>
        <v>-43846.22</v>
      </c>
      <c r="F49" s="67">
        <v>0</v>
      </c>
      <c r="G49" s="60">
        <v>-3070.62</v>
      </c>
      <c r="H49" s="236">
        <f t="shared" si="17"/>
        <v>-3070.62</v>
      </c>
      <c r="I49" s="67">
        <v>0</v>
      </c>
      <c r="J49" s="60">
        <v>-44927.11</v>
      </c>
      <c r="K49" s="236">
        <f t="shared" si="18"/>
        <v>-44927.11</v>
      </c>
      <c r="M49" s="384" t="s">
        <v>54</v>
      </c>
      <c r="N49" s="151">
        <v>4466.3999999999996</v>
      </c>
      <c r="O49" s="155">
        <v>-680</v>
      </c>
      <c r="P49" s="130">
        <f t="shared" si="13"/>
        <v>3786.3999999999996</v>
      </c>
      <c r="Q49" s="151">
        <v>10</v>
      </c>
      <c r="R49" s="155">
        <v>-21682.51</v>
      </c>
      <c r="S49" s="130">
        <f t="shared" si="14"/>
        <v>-21672.51</v>
      </c>
      <c r="T49" s="151">
        <v>15524.5</v>
      </c>
      <c r="U49" s="155">
        <v>-13068.8</v>
      </c>
      <c r="V49" s="130">
        <f t="shared" si="15"/>
        <v>2455.7000000000007</v>
      </c>
      <c r="X49"/>
      <c r="Y49"/>
      <c r="Z49"/>
      <c r="AA49"/>
      <c r="AB49"/>
      <c r="AC49"/>
      <c r="AD49"/>
      <c r="AE49"/>
      <c r="AF49"/>
      <c r="AG49"/>
      <c r="AH49"/>
    </row>
    <row r="50" spans="2:34" ht="15" customHeight="1" thickBot="1">
      <c r="B50" s="385" t="s">
        <v>55</v>
      </c>
      <c r="C50" s="120">
        <v>0</v>
      </c>
      <c r="D50" s="63">
        <v>-9600.67</v>
      </c>
      <c r="E50" s="236">
        <f>+C50+D50</f>
        <v>-9600.67</v>
      </c>
      <c r="F50" s="120">
        <v>0</v>
      </c>
      <c r="G50" s="63">
        <v>-3864.81</v>
      </c>
      <c r="H50" s="236">
        <f t="shared" si="17"/>
        <v>-3864.81</v>
      </c>
      <c r="I50" s="120">
        <v>0</v>
      </c>
      <c r="J50" s="63">
        <v>-42085.97</v>
      </c>
      <c r="K50" s="236">
        <f t="shared" si="18"/>
        <v>-42085.97</v>
      </c>
      <c r="M50" s="388" t="s">
        <v>55</v>
      </c>
      <c r="N50" s="152">
        <v>5018.2</v>
      </c>
      <c r="O50" s="156">
        <v>-4430.6000000000004</v>
      </c>
      <c r="P50" s="131">
        <f t="shared" si="13"/>
        <v>587.59999999999945</v>
      </c>
      <c r="Q50" s="152">
        <v>16.8</v>
      </c>
      <c r="R50" s="156">
        <v>-21670.6</v>
      </c>
      <c r="S50" s="182">
        <f t="shared" si="14"/>
        <v>-21653.8</v>
      </c>
      <c r="T50" s="152">
        <v>14196.9</v>
      </c>
      <c r="U50" s="156">
        <v>-10313.4</v>
      </c>
      <c r="V50" s="182">
        <f t="shared" si="15"/>
        <v>3883.5</v>
      </c>
      <c r="X50"/>
      <c r="Y50"/>
      <c r="Z50"/>
      <c r="AA50"/>
      <c r="AB50"/>
      <c r="AC50"/>
      <c r="AD50"/>
      <c r="AE50"/>
      <c r="AF50"/>
      <c r="AG50"/>
      <c r="AH50"/>
    </row>
    <row r="51" spans="2:34" ht="20.100000000000001" customHeight="1" thickBot="1">
      <c r="B51" s="387" t="s">
        <v>35</v>
      </c>
      <c r="C51" s="121">
        <f t="shared" ref="C51:K51" si="19">SUM(C39:C50)</f>
        <v>192857.84</v>
      </c>
      <c r="D51" s="122">
        <f t="shared" si="19"/>
        <v>-98547.75</v>
      </c>
      <c r="E51" s="122">
        <f t="shared" si="19"/>
        <v>94310.090000000011</v>
      </c>
      <c r="F51" s="121">
        <f t="shared" si="19"/>
        <v>17108.52</v>
      </c>
      <c r="G51" s="122">
        <f t="shared" si="19"/>
        <v>-139308.25</v>
      </c>
      <c r="H51" s="122">
        <f t="shared" si="19"/>
        <v>-122199.73</v>
      </c>
      <c r="I51" s="121">
        <f t="shared" si="19"/>
        <v>30019.469999999998</v>
      </c>
      <c r="J51" s="122">
        <f t="shared" si="19"/>
        <v>-397660.23</v>
      </c>
      <c r="K51" s="122">
        <f t="shared" si="19"/>
        <v>-367640.76</v>
      </c>
      <c r="M51" s="389" t="s">
        <v>35</v>
      </c>
      <c r="N51" s="121">
        <f>SUM(N39:N50)</f>
        <v>35132.089999999997</v>
      </c>
      <c r="O51" s="122">
        <f>SUM(O39:O50)</f>
        <v>-48605.09</v>
      </c>
      <c r="P51" s="132">
        <f>N51+O51</f>
        <v>-13473</v>
      </c>
      <c r="Q51" s="153">
        <f>SUM(Q39:Q50)</f>
        <v>2293.7000000000003</v>
      </c>
      <c r="R51" s="122">
        <f>SUM(R39:R50)</f>
        <v>-182010.81000000003</v>
      </c>
      <c r="S51" s="132">
        <f t="shared" si="14"/>
        <v>-179717.11000000002</v>
      </c>
      <c r="T51" s="121">
        <f>SUM(T39:T50)</f>
        <v>78041.899999999994</v>
      </c>
      <c r="U51" s="122">
        <f>SUM(U39:U50)</f>
        <v>-207141.58</v>
      </c>
      <c r="V51" s="132">
        <f>T51+U51</f>
        <v>-129099.68</v>
      </c>
      <c r="X51"/>
      <c r="Y51"/>
      <c r="Z51"/>
      <c r="AA51"/>
      <c r="AB51"/>
      <c r="AC51"/>
      <c r="AD51"/>
      <c r="AE51"/>
      <c r="AF51"/>
      <c r="AG51"/>
      <c r="AH51"/>
    </row>
    <row r="52" spans="2:34" ht="15" customHeight="1" thickBot="1">
      <c r="X52"/>
      <c r="Y52"/>
      <c r="Z52"/>
      <c r="AA52"/>
      <c r="AB52"/>
      <c r="AC52"/>
      <c r="AD52"/>
      <c r="AE52"/>
      <c r="AF52"/>
      <c r="AG52"/>
      <c r="AH52"/>
    </row>
    <row r="53" spans="2:34" ht="20.100000000000001" customHeight="1">
      <c r="B53" s="679" t="s">
        <v>64</v>
      </c>
      <c r="C53" s="671">
        <v>2011</v>
      </c>
      <c r="D53" s="672"/>
      <c r="E53" s="673"/>
      <c r="F53" s="671">
        <v>2012</v>
      </c>
      <c r="G53" s="672"/>
      <c r="H53" s="673"/>
      <c r="I53" s="671">
        <v>2013</v>
      </c>
      <c r="J53" s="672"/>
      <c r="K53" s="673"/>
      <c r="M53" s="679" t="s">
        <v>64</v>
      </c>
      <c r="N53" s="671">
        <v>1999</v>
      </c>
      <c r="O53" s="672"/>
      <c r="P53" s="673"/>
      <c r="Q53" s="671">
        <v>2000</v>
      </c>
      <c r="R53" s="672"/>
      <c r="S53" s="673"/>
      <c r="T53" s="671">
        <v>2001</v>
      </c>
      <c r="U53" s="672"/>
      <c r="V53" s="673"/>
      <c r="X53"/>
      <c r="Y53"/>
      <c r="Z53"/>
      <c r="AA53"/>
      <c r="AB53"/>
      <c r="AC53"/>
      <c r="AD53"/>
      <c r="AE53"/>
      <c r="AF53"/>
      <c r="AG53"/>
      <c r="AH53"/>
    </row>
    <row r="54" spans="2:34" ht="20.100000000000001" customHeight="1" thickBot="1">
      <c r="B54" s="680"/>
      <c r="C54" s="390" t="s">
        <v>69</v>
      </c>
      <c r="D54" s="391" t="s">
        <v>70</v>
      </c>
      <c r="E54" s="392" t="s">
        <v>66</v>
      </c>
      <c r="F54" s="390" t="s">
        <v>69</v>
      </c>
      <c r="G54" s="391" t="s">
        <v>70</v>
      </c>
      <c r="H54" s="392" t="s">
        <v>66</v>
      </c>
      <c r="I54" s="390" t="s">
        <v>69</v>
      </c>
      <c r="J54" s="391" t="s">
        <v>70</v>
      </c>
      <c r="K54" s="392" t="s">
        <v>66</v>
      </c>
      <c r="M54" s="680"/>
      <c r="N54" s="390" t="s">
        <v>69</v>
      </c>
      <c r="O54" s="391" t="s">
        <v>70</v>
      </c>
      <c r="P54" s="392" t="s">
        <v>66</v>
      </c>
      <c r="Q54" s="393" t="s">
        <v>69</v>
      </c>
      <c r="R54" s="394" t="s">
        <v>70</v>
      </c>
      <c r="S54" s="395" t="s">
        <v>66</v>
      </c>
      <c r="T54" s="393" t="s">
        <v>69</v>
      </c>
      <c r="U54" s="394" t="s">
        <v>70</v>
      </c>
      <c r="V54" s="395" t="s">
        <v>66</v>
      </c>
      <c r="X54"/>
      <c r="Y54"/>
      <c r="Z54"/>
      <c r="AA54"/>
      <c r="AB54"/>
      <c r="AC54"/>
      <c r="AD54"/>
      <c r="AE54"/>
      <c r="AF54"/>
      <c r="AG54"/>
      <c r="AH54"/>
    </row>
    <row r="55" spans="2:34" ht="15" customHeight="1">
      <c r="B55" s="386" t="s">
        <v>44</v>
      </c>
      <c r="C55" s="72">
        <v>2664</v>
      </c>
      <c r="D55" s="123">
        <v>-5105.91</v>
      </c>
      <c r="E55" s="236">
        <f>+C55+D55</f>
        <v>-2441.91</v>
      </c>
      <c r="F55" s="72">
        <v>3065.09</v>
      </c>
      <c r="G55" s="123">
        <v>-2621.02</v>
      </c>
      <c r="H55" s="236">
        <f>+F55+G55</f>
        <v>444.07000000000016</v>
      </c>
      <c r="I55" s="72">
        <v>3563.84</v>
      </c>
      <c r="J55" s="123">
        <v>-5335.64</v>
      </c>
      <c r="K55" s="236">
        <f>+I55+J55</f>
        <v>-1771.8000000000002</v>
      </c>
      <c r="M55" s="386" t="s">
        <v>44</v>
      </c>
      <c r="N55" s="72">
        <v>1096.0999999999999</v>
      </c>
      <c r="O55" s="123">
        <v>-2669.5</v>
      </c>
      <c r="P55" s="124">
        <f>N55+O55</f>
        <v>-1573.4</v>
      </c>
      <c r="Q55" s="69">
        <v>3038.13</v>
      </c>
      <c r="R55" s="64">
        <v>-6407.7</v>
      </c>
      <c r="S55" s="65">
        <f t="shared" ref="S55:S66" si="20">Q55+R55</f>
        <v>-3369.5699999999997</v>
      </c>
      <c r="T55" s="69">
        <v>7612</v>
      </c>
      <c r="U55" s="64">
        <v>-3043</v>
      </c>
      <c r="V55" s="129">
        <f t="shared" ref="V55:V66" si="21">T55+U55</f>
        <v>4569</v>
      </c>
      <c r="X55"/>
      <c r="Y55"/>
      <c r="Z55"/>
      <c r="AA55"/>
      <c r="AB55"/>
      <c r="AC55"/>
      <c r="AD55"/>
      <c r="AE55"/>
      <c r="AF55"/>
      <c r="AG55"/>
      <c r="AH55"/>
    </row>
    <row r="56" spans="2:34" ht="15" customHeight="1">
      <c r="B56" s="383" t="s">
        <v>45</v>
      </c>
      <c r="C56" s="67">
        <v>4974.7299999999996</v>
      </c>
      <c r="D56" s="60">
        <v>-1509.6</v>
      </c>
      <c r="E56" s="236">
        <f t="shared" ref="E56:E65" si="22">+C56+D56</f>
        <v>3465.1299999999997</v>
      </c>
      <c r="F56" s="67">
        <v>4301.49</v>
      </c>
      <c r="G56" s="241">
        <v>0</v>
      </c>
      <c r="H56" s="236">
        <f t="shared" ref="H56:H65" si="23">+F56+G56</f>
        <v>4301.49</v>
      </c>
      <c r="I56" s="67">
        <v>27697.94</v>
      </c>
      <c r="J56" s="241">
        <v>-25687.43</v>
      </c>
      <c r="K56" s="236">
        <f t="shared" ref="K56:K65" si="24">+I56+J56</f>
        <v>2010.5099999999984</v>
      </c>
      <c r="M56" s="383" t="s">
        <v>45</v>
      </c>
      <c r="N56" s="67">
        <v>777</v>
      </c>
      <c r="O56" s="60">
        <v>-9085.99</v>
      </c>
      <c r="P56" s="106">
        <f t="shared" ref="P56:P67" si="25">N56+O56</f>
        <v>-8308.99</v>
      </c>
      <c r="Q56" s="67">
        <v>11026.16</v>
      </c>
      <c r="R56" s="60">
        <v>-828.05</v>
      </c>
      <c r="S56" s="62">
        <f t="shared" si="20"/>
        <v>10198.11</v>
      </c>
      <c r="T56" s="67">
        <v>7128</v>
      </c>
      <c r="U56" s="60">
        <v>-3047.5</v>
      </c>
      <c r="V56" s="130">
        <f t="shared" si="21"/>
        <v>4080.5</v>
      </c>
      <c r="X56"/>
      <c r="Y56"/>
      <c r="Z56"/>
      <c r="AA56"/>
      <c r="AB56"/>
      <c r="AC56"/>
      <c r="AD56"/>
      <c r="AE56"/>
      <c r="AF56"/>
      <c r="AG56"/>
      <c r="AH56"/>
    </row>
    <row r="57" spans="2:34" ht="15" customHeight="1">
      <c r="B57" s="383" t="s">
        <v>46</v>
      </c>
      <c r="C57" s="67">
        <v>8910.85</v>
      </c>
      <c r="D57" s="60">
        <v>-424</v>
      </c>
      <c r="E57" s="236">
        <f t="shared" si="22"/>
        <v>8486.85</v>
      </c>
      <c r="F57" s="67">
        <v>174.83</v>
      </c>
      <c r="G57" s="60">
        <v>-678.49</v>
      </c>
      <c r="H57" s="236">
        <f t="shared" si="23"/>
        <v>-503.65999999999997</v>
      </c>
      <c r="I57" s="67">
        <v>6865.92</v>
      </c>
      <c r="J57" s="60">
        <v>-4705</v>
      </c>
      <c r="K57" s="236">
        <f t="shared" si="24"/>
        <v>2160.92</v>
      </c>
      <c r="M57" s="383" t="s">
        <v>46</v>
      </c>
      <c r="N57" s="67">
        <v>726.82</v>
      </c>
      <c r="O57" s="60">
        <v>-18404.2</v>
      </c>
      <c r="P57" s="106">
        <f t="shared" si="25"/>
        <v>-17677.38</v>
      </c>
      <c r="Q57" s="67">
        <v>11043.17</v>
      </c>
      <c r="R57" s="60">
        <v>-780</v>
      </c>
      <c r="S57" s="62">
        <f t="shared" si="20"/>
        <v>10263.17</v>
      </c>
      <c r="T57" s="67">
        <v>1926</v>
      </c>
      <c r="U57" s="60">
        <v>-6527</v>
      </c>
      <c r="V57" s="130">
        <f t="shared" si="21"/>
        <v>-4601</v>
      </c>
      <c r="X57"/>
      <c r="Y57"/>
      <c r="Z57"/>
      <c r="AA57"/>
      <c r="AB57"/>
      <c r="AC57"/>
      <c r="AD57"/>
      <c r="AE57"/>
      <c r="AF57"/>
      <c r="AG57"/>
      <c r="AH57"/>
    </row>
    <row r="58" spans="2:34" ht="15" customHeight="1">
      <c r="B58" s="383" t="s">
        <v>47</v>
      </c>
      <c r="C58" s="67">
        <v>8304.9500000000007</v>
      </c>
      <c r="D58" s="241">
        <v>-273</v>
      </c>
      <c r="E58" s="236">
        <f t="shared" si="22"/>
        <v>8031.9500000000007</v>
      </c>
      <c r="F58" s="67">
        <v>49.3</v>
      </c>
      <c r="G58" s="241">
        <v>-1855.86</v>
      </c>
      <c r="H58" s="236">
        <f t="shared" si="23"/>
        <v>-1806.56</v>
      </c>
      <c r="I58" s="67">
        <v>6600.08</v>
      </c>
      <c r="J58" s="241">
        <v>-12749.68</v>
      </c>
      <c r="K58" s="236">
        <f t="shared" si="24"/>
        <v>-6149.6</v>
      </c>
      <c r="M58" s="383" t="s">
        <v>47</v>
      </c>
      <c r="N58" s="67">
        <v>735.45</v>
      </c>
      <c r="O58" s="60">
        <v>-24383.27</v>
      </c>
      <c r="P58" s="106">
        <f t="shared" si="25"/>
        <v>-23647.82</v>
      </c>
      <c r="Q58" s="67">
        <v>9189.17</v>
      </c>
      <c r="R58" s="60">
        <v>-812.51</v>
      </c>
      <c r="S58" s="62">
        <f t="shared" si="20"/>
        <v>8376.66</v>
      </c>
      <c r="T58" s="67">
        <v>853</v>
      </c>
      <c r="U58" s="60">
        <v>-3195.5</v>
      </c>
      <c r="V58" s="130">
        <f t="shared" si="21"/>
        <v>-2342.5</v>
      </c>
      <c r="X58"/>
      <c r="Y58"/>
      <c r="Z58"/>
      <c r="AA58"/>
      <c r="AB58"/>
      <c r="AC58"/>
      <c r="AD58"/>
      <c r="AE58"/>
      <c r="AF58"/>
      <c r="AG58"/>
      <c r="AH58"/>
    </row>
    <row r="59" spans="2:34" ht="15" customHeight="1">
      <c r="B59" s="383" t="s">
        <v>48</v>
      </c>
      <c r="C59" s="67">
        <v>5501.83</v>
      </c>
      <c r="D59" s="241">
        <v>-40</v>
      </c>
      <c r="E59" s="236">
        <f t="shared" si="22"/>
        <v>5461.83</v>
      </c>
      <c r="F59" s="67">
        <v>0</v>
      </c>
      <c r="G59" s="241">
        <v>-865.81</v>
      </c>
      <c r="H59" s="236">
        <f t="shared" si="23"/>
        <v>-865.81</v>
      </c>
      <c r="I59" s="67">
        <v>22648.68</v>
      </c>
      <c r="J59" s="241">
        <v>0</v>
      </c>
      <c r="K59" s="236">
        <f t="shared" si="24"/>
        <v>22648.68</v>
      </c>
      <c r="M59" s="383" t="s">
        <v>48</v>
      </c>
      <c r="N59" s="67">
        <v>779.33</v>
      </c>
      <c r="O59" s="60">
        <v>-14266.65</v>
      </c>
      <c r="P59" s="106">
        <f t="shared" si="25"/>
        <v>-13487.32</v>
      </c>
      <c r="Q59" s="67">
        <v>13996.21</v>
      </c>
      <c r="R59" s="60">
        <v>-666.32</v>
      </c>
      <c r="S59" s="62">
        <f t="shared" si="20"/>
        <v>13329.89</v>
      </c>
      <c r="T59" s="67">
        <v>272</v>
      </c>
      <c r="U59" s="60">
        <v>-3001.5</v>
      </c>
      <c r="V59" s="130">
        <f t="shared" si="21"/>
        <v>-2729.5</v>
      </c>
      <c r="X59"/>
      <c r="Y59"/>
      <c r="Z59"/>
      <c r="AA59"/>
      <c r="AB59"/>
      <c r="AC59"/>
      <c r="AD59"/>
      <c r="AE59"/>
      <c r="AF59"/>
      <c r="AG59"/>
      <c r="AH59"/>
    </row>
    <row r="60" spans="2:34" ht="15" customHeight="1">
      <c r="B60" s="383" t="s">
        <v>49</v>
      </c>
      <c r="C60" s="67">
        <v>1581.52</v>
      </c>
      <c r="D60" s="241">
        <v>0</v>
      </c>
      <c r="E60" s="236">
        <f t="shared" si="22"/>
        <v>1581.52</v>
      </c>
      <c r="F60" s="67">
        <v>35</v>
      </c>
      <c r="G60" s="241">
        <v>-525</v>
      </c>
      <c r="H60" s="236">
        <f t="shared" si="23"/>
        <v>-490</v>
      </c>
      <c r="I60" s="67">
        <v>383.98</v>
      </c>
      <c r="J60" s="241">
        <v>0</v>
      </c>
      <c r="K60" s="236">
        <f t="shared" si="24"/>
        <v>383.98</v>
      </c>
      <c r="M60" s="383" t="s">
        <v>49</v>
      </c>
      <c r="N60" s="67">
        <v>1026.82</v>
      </c>
      <c r="O60" s="60">
        <v>-5447.88</v>
      </c>
      <c r="P60" s="106">
        <f t="shared" si="25"/>
        <v>-4421.0600000000004</v>
      </c>
      <c r="Q60" s="67">
        <v>16377.51</v>
      </c>
      <c r="R60" s="60">
        <v>-219.65</v>
      </c>
      <c r="S60" s="62">
        <f t="shared" si="20"/>
        <v>16157.86</v>
      </c>
      <c r="T60" s="67">
        <v>930</v>
      </c>
      <c r="U60" s="60">
        <v>0</v>
      </c>
      <c r="V60" s="130">
        <f t="shared" si="21"/>
        <v>930</v>
      </c>
      <c r="X60"/>
      <c r="Y60"/>
      <c r="Z60"/>
      <c r="AA60"/>
      <c r="AB60"/>
      <c r="AC60"/>
      <c r="AD60"/>
      <c r="AE60"/>
      <c r="AF60"/>
      <c r="AG60"/>
      <c r="AH60"/>
    </row>
    <row r="61" spans="2:34" ht="15" customHeight="1">
      <c r="B61" s="383" t="s">
        <v>50</v>
      </c>
      <c r="C61" s="67">
        <v>10540.74</v>
      </c>
      <c r="D61" s="241">
        <v>0</v>
      </c>
      <c r="E61" s="236">
        <f t="shared" si="22"/>
        <v>10540.74</v>
      </c>
      <c r="F61" s="67">
        <v>2298.84</v>
      </c>
      <c r="G61" s="241">
        <v>-122.88</v>
      </c>
      <c r="H61" s="236">
        <f t="shared" si="23"/>
        <v>2175.96</v>
      </c>
      <c r="I61" s="67">
        <v>0</v>
      </c>
      <c r="J61" s="241">
        <v>0</v>
      </c>
      <c r="K61" s="236">
        <f t="shared" si="24"/>
        <v>0</v>
      </c>
      <c r="M61" s="383" t="s">
        <v>50</v>
      </c>
      <c r="N61" s="67">
        <v>6550.48</v>
      </c>
      <c r="O61" s="60">
        <v>-3707.17</v>
      </c>
      <c r="P61" s="106">
        <f t="shared" si="25"/>
        <v>2843.3099999999995</v>
      </c>
      <c r="Q61" s="67">
        <v>15431.78</v>
      </c>
      <c r="R61" s="60">
        <v>-407.84</v>
      </c>
      <c r="S61" s="62">
        <f t="shared" si="20"/>
        <v>15023.94</v>
      </c>
      <c r="T61" s="67">
        <v>2164</v>
      </c>
      <c r="U61" s="60">
        <v>-8448</v>
      </c>
      <c r="V61" s="130">
        <f t="shared" si="21"/>
        <v>-6284</v>
      </c>
      <c r="X61"/>
      <c r="Y61"/>
      <c r="Z61"/>
      <c r="AA61"/>
      <c r="AB61"/>
      <c r="AC61"/>
      <c r="AD61"/>
      <c r="AE61"/>
      <c r="AF61"/>
      <c r="AG61"/>
      <c r="AH61"/>
    </row>
    <row r="62" spans="2:34" ht="15" customHeight="1">
      <c r="B62" s="383" t="s">
        <v>51</v>
      </c>
      <c r="C62" s="67">
        <v>12746.32</v>
      </c>
      <c r="D62" s="241">
        <v>0</v>
      </c>
      <c r="E62" s="236">
        <f t="shared" si="22"/>
        <v>12746.32</v>
      </c>
      <c r="F62" s="67">
        <v>0</v>
      </c>
      <c r="G62" s="241">
        <v>-1818.74</v>
      </c>
      <c r="H62" s="236">
        <f t="shared" si="23"/>
        <v>-1818.74</v>
      </c>
      <c r="I62" s="67">
        <v>0</v>
      </c>
      <c r="J62" s="241">
        <v>0</v>
      </c>
      <c r="K62" s="236">
        <f t="shared" si="24"/>
        <v>0</v>
      </c>
      <c r="M62" s="383" t="s">
        <v>51</v>
      </c>
      <c r="N62" s="67">
        <v>11996.79</v>
      </c>
      <c r="O62" s="60">
        <v>-2963.31</v>
      </c>
      <c r="P62" s="106">
        <f t="shared" si="25"/>
        <v>9033.4800000000014</v>
      </c>
      <c r="Q62" s="67">
        <v>14951.71</v>
      </c>
      <c r="R62" s="60">
        <v>-363.68</v>
      </c>
      <c r="S62" s="62">
        <f t="shared" si="20"/>
        <v>14588.029999999999</v>
      </c>
      <c r="T62" s="67">
        <v>1494</v>
      </c>
      <c r="U62" s="60">
        <v>-19039</v>
      </c>
      <c r="V62" s="130">
        <f t="shared" si="21"/>
        <v>-17545</v>
      </c>
      <c r="X62"/>
      <c r="Y62"/>
      <c r="Z62"/>
      <c r="AA62"/>
      <c r="AB62"/>
      <c r="AC62"/>
      <c r="AD62"/>
      <c r="AE62"/>
      <c r="AF62"/>
      <c r="AG62"/>
      <c r="AH62"/>
    </row>
    <row r="63" spans="2:34" ht="15" customHeight="1">
      <c r="B63" s="383" t="s">
        <v>65</v>
      </c>
      <c r="C63" s="67">
        <v>9689.11</v>
      </c>
      <c r="D63" s="60">
        <v>0</v>
      </c>
      <c r="E63" s="236">
        <f t="shared" si="22"/>
        <v>9689.11</v>
      </c>
      <c r="F63" s="67">
        <v>1642.48</v>
      </c>
      <c r="G63" s="60">
        <v>-4425</v>
      </c>
      <c r="H63" s="236">
        <f t="shared" si="23"/>
        <v>-2782.52</v>
      </c>
      <c r="I63" s="67">
        <v>266.60000000000002</v>
      </c>
      <c r="J63" s="241">
        <v>0</v>
      </c>
      <c r="K63" s="236">
        <f t="shared" si="24"/>
        <v>266.60000000000002</v>
      </c>
      <c r="M63" s="383" t="s">
        <v>65</v>
      </c>
      <c r="N63" s="67">
        <v>13319.87</v>
      </c>
      <c r="O63" s="60">
        <v>-2808.34</v>
      </c>
      <c r="P63" s="106">
        <f t="shared" si="25"/>
        <v>10511.53</v>
      </c>
      <c r="Q63" s="67">
        <v>13155.55</v>
      </c>
      <c r="R63" s="60">
        <v>-462.36</v>
      </c>
      <c r="S63" s="62">
        <f t="shared" si="20"/>
        <v>12693.189999999999</v>
      </c>
      <c r="T63" s="67">
        <v>539.84</v>
      </c>
      <c r="U63" s="60">
        <v>-20479.7</v>
      </c>
      <c r="V63" s="130">
        <f t="shared" si="21"/>
        <v>-19939.86</v>
      </c>
      <c r="X63"/>
      <c r="Y63"/>
      <c r="Z63"/>
      <c r="AA63"/>
      <c r="AB63"/>
      <c r="AC63"/>
      <c r="AD63"/>
      <c r="AE63"/>
      <c r="AF63"/>
      <c r="AG63"/>
      <c r="AH63"/>
    </row>
    <row r="64" spans="2:34" ht="15" customHeight="1">
      <c r="B64" s="383" t="s">
        <v>53</v>
      </c>
      <c r="C64" s="67">
        <v>5918.8</v>
      </c>
      <c r="D64" s="241">
        <v>0</v>
      </c>
      <c r="E64" s="236">
        <f t="shared" si="22"/>
        <v>5918.8</v>
      </c>
      <c r="F64" s="67">
        <v>3576.44</v>
      </c>
      <c r="G64" s="241">
        <v>-6694.78</v>
      </c>
      <c r="H64" s="236">
        <f t="shared" si="23"/>
        <v>-3118.3399999999997</v>
      </c>
      <c r="I64" s="67">
        <v>0</v>
      </c>
      <c r="J64" s="241">
        <v>-15539.5</v>
      </c>
      <c r="K64" s="236">
        <f t="shared" si="24"/>
        <v>-15539.5</v>
      </c>
      <c r="M64" s="383" t="s">
        <v>53</v>
      </c>
      <c r="N64" s="67">
        <v>4574.04</v>
      </c>
      <c r="O64" s="60">
        <v>-1493.68</v>
      </c>
      <c r="P64" s="106">
        <f t="shared" si="25"/>
        <v>3080.3599999999997</v>
      </c>
      <c r="Q64" s="67">
        <v>13565.23</v>
      </c>
      <c r="R64" s="60">
        <v>-639.09</v>
      </c>
      <c r="S64" s="62">
        <f t="shared" si="20"/>
        <v>12926.14</v>
      </c>
      <c r="T64" s="67">
        <v>0</v>
      </c>
      <c r="U64" s="60">
        <v>-33216</v>
      </c>
      <c r="V64" s="130">
        <f t="shared" si="21"/>
        <v>-33216</v>
      </c>
      <c r="X64"/>
      <c r="Y64"/>
      <c r="Z64"/>
      <c r="AA64"/>
      <c r="AB64"/>
      <c r="AC64"/>
      <c r="AD64"/>
      <c r="AE64"/>
      <c r="AF64"/>
      <c r="AG64"/>
      <c r="AH64"/>
    </row>
    <row r="65" spans="2:34" ht="15" customHeight="1">
      <c r="B65" s="383" t="s">
        <v>54</v>
      </c>
      <c r="C65" s="67">
        <v>715</v>
      </c>
      <c r="D65" s="60">
        <v>-80</v>
      </c>
      <c r="E65" s="236">
        <f t="shared" si="22"/>
        <v>635</v>
      </c>
      <c r="F65" s="67">
        <v>1718</v>
      </c>
      <c r="G65" s="60">
        <v>-11865.35</v>
      </c>
      <c r="H65" s="236">
        <f t="shared" si="23"/>
        <v>-10147.35</v>
      </c>
      <c r="I65" s="67">
        <v>0</v>
      </c>
      <c r="J65" s="60">
        <v>-7204.53</v>
      </c>
      <c r="K65" s="236">
        <f t="shared" si="24"/>
        <v>-7204.53</v>
      </c>
      <c r="M65" s="383" t="s">
        <v>54</v>
      </c>
      <c r="N65" s="67">
        <v>2427.69</v>
      </c>
      <c r="O65" s="60">
        <v>-12220.96</v>
      </c>
      <c r="P65" s="106">
        <f t="shared" si="25"/>
        <v>-9793.2699999999986</v>
      </c>
      <c r="Q65" s="67">
        <v>10402.950000000001</v>
      </c>
      <c r="R65" s="60">
        <v>-654.99</v>
      </c>
      <c r="S65" s="62">
        <f t="shared" si="20"/>
        <v>9747.9600000000009</v>
      </c>
      <c r="T65" s="67">
        <v>8268.75</v>
      </c>
      <c r="U65" s="60">
        <v>-15590</v>
      </c>
      <c r="V65" s="130">
        <f t="shared" si="21"/>
        <v>-7321.25</v>
      </c>
      <c r="X65"/>
      <c r="Y65"/>
      <c r="Z65"/>
      <c r="AA65"/>
      <c r="AB65"/>
      <c r="AC65"/>
      <c r="AD65"/>
      <c r="AE65"/>
      <c r="AF65"/>
      <c r="AG65"/>
      <c r="AH65"/>
    </row>
    <row r="66" spans="2:34" ht="15" customHeight="1" thickBot="1">
      <c r="B66" s="385" t="s">
        <v>55</v>
      </c>
      <c r="C66" s="120">
        <v>656</v>
      </c>
      <c r="D66" s="63">
        <v>-701.9</v>
      </c>
      <c r="E66" s="236">
        <f>+C66+D66</f>
        <v>-45.899999999999977</v>
      </c>
      <c r="F66" s="120">
        <v>0</v>
      </c>
      <c r="G66" s="63">
        <v>-27515.31</v>
      </c>
      <c r="H66" s="236">
        <f>+F66+G66</f>
        <v>-27515.31</v>
      </c>
      <c r="I66" s="120">
        <v>7323.86</v>
      </c>
      <c r="J66" s="63">
        <v>-191.25</v>
      </c>
      <c r="K66" s="236">
        <f>+I66+J66</f>
        <v>7132.61</v>
      </c>
      <c r="M66" s="385" t="s">
        <v>55</v>
      </c>
      <c r="N66" s="120">
        <v>1248.98</v>
      </c>
      <c r="O66" s="63">
        <v>-8366.51</v>
      </c>
      <c r="P66" s="107">
        <f t="shared" si="25"/>
        <v>-7117.5300000000007</v>
      </c>
      <c r="Q66" s="70">
        <v>3154.96</v>
      </c>
      <c r="R66" s="61">
        <v>-5591.21</v>
      </c>
      <c r="S66" s="66">
        <f t="shared" si="20"/>
        <v>-2436.25</v>
      </c>
      <c r="T66" s="120">
        <v>11743.6</v>
      </c>
      <c r="U66" s="63">
        <v>-2405</v>
      </c>
      <c r="V66" s="131">
        <f t="shared" si="21"/>
        <v>9338.6</v>
      </c>
      <c r="X66"/>
      <c r="Y66"/>
      <c r="Z66"/>
      <c r="AA66"/>
      <c r="AB66"/>
      <c r="AC66"/>
      <c r="AD66"/>
      <c r="AE66"/>
      <c r="AF66"/>
      <c r="AG66"/>
      <c r="AH66"/>
    </row>
    <row r="67" spans="2:34" ht="20.100000000000001" customHeight="1" thickBot="1">
      <c r="B67" s="387" t="s">
        <v>35</v>
      </c>
      <c r="C67" s="121">
        <f t="shared" ref="C67:K67" si="26">SUM(C55:C66)</f>
        <v>72203.850000000006</v>
      </c>
      <c r="D67" s="122">
        <f t="shared" si="26"/>
        <v>-8134.41</v>
      </c>
      <c r="E67" s="122">
        <f t="shared" si="26"/>
        <v>64069.440000000002</v>
      </c>
      <c r="F67" s="121">
        <f t="shared" si="26"/>
        <v>16861.47</v>
      </c>
      <c r="G67" s="122">
        <f t="shared" si="26"/>
        <v>-58988.240000000005</v>
      </c>
      <c r="H67" s="121">
        <f t="shared" si="26"/>
        <v>-42126.770000000004</v>
      </c>
      <c r="I67" s="121">
        <f t="shared" si="26"/>
        <v>75350.899999999994</v>
      </c>
      <c r="J67" s="122">
        <f t="shared" si="26"/>
        <v>-71413.03</v>
      </c>
      <c r="K67" s="121">
        <f t="shared" si="26"/>
        <v>3937.8699999999972</v>
      </c>
      <c r="M67" s="387" t="s">
        <v>35</v>
      </c>
      <c r="N67" s="121">
        <f>SUM(N55:N66)</f>
        <v>45259.37000000001</v>
      </c>
      <c r="O67" s="122">
        <f>SUM(O55:O66)</f>
        <v>-105817.45999999998</v>
      </c>
      <c r="P67" s="75">
        <f t="shared" si="25"/>
        <v>-60558.089999999967</v>
      </c>
      <c r="Q67" s="125">
        <f>SUM(Q55:Q66)</f>
        <v>135332.53</v>
      </c>
      <c r="R67" s="126">
        <f>SUM(R55:R66)</f>
        <v>-17833.400000000001</v>
      </c>
      <c r="S67" s="128">
        <f>Q67+R67</f>
        <v>117499.13</v>
      </c>
      <c r="T67" s="121">
        <f>SUM(T55:T66)</f>
        <v>42931.19</v>
      </c>
      <c r="U67" s="122">
        <f>SUM(U55:U66)</f>
        <v>-117992.2</v>
      </c>
      <c r="V67" s="75">
        <f>T67+U67</f>
        <v>-75061.009999999995</v>
      </c>
      <c r="X67"/>
      <c r="Y67"/>
      <c r="Z67"/>
      <c r="AA67"/>
      <c r="AB67"/>
      <c r="AC67"/>
      <c r="AD67"/>
      <c r="AE67"/>
      <c r="AF67"/>
      <c r="AG67"/>
      <c r="AH67"/>
    </row>
    <row r="68" spans="2:34" ht="15" customHeight="1">
      <c r="X68"/>
      <c r="Y68"/>
      <c r="Z68"/>
      <c r="AA68"/>
      <c r="AB68"/>
      <c r="AC68"/>
      <c r="AD68"/>
      <c r="AE68"/>
      <c r="AF68"/>
      <c r="AG68"/>
      <c r="AH68"/>
    </row>
    <row r="69" spans="2:34" ht="15" customHeight="1">
      <c r="B69" s="68" t="s">
        <v>68</v>
      </c>
      <c r="C69"/>
      <c r="D69"/>
      <c r="E69"/>
      <c r="F69"/>
      <c r="G69"/>
      <c r="H69"/>
      <c r="I69"/>
      <c r="J69"/>
      <c r="K69"/>
      <c r="M69" s="68" t="s">
        <v>68</v>
      </c>
      <c r="N69"/>
      <c r="O69"/>
      <c r="P69"/>
      <c r="Q69"/>
      <c r="R69"/>
      <c r="S69"/>
      <c r="T69"/>
      <c r="U69"/>
      <c r="V69"/>
      <c r="X69"/>
      <c r="Y69"/>
      <c r="Z69"/>
      <c r="AA69"/>
      <c r="AB69"/>
      <c r="AC69"/>
      <c r="AD69"/>
      <c r="AE69"/>
      <c r="AF69"/>
      <c r="AG69"/>
      <c r="AH69"/>
    </row>
    <row r="70" spans="2:34" ht="15" customHeight="1">
      <c r="B70"/>
      <c r="C70"/>
      <c r="D70"/>
      <c r="E70"/>
      <c r="F70"/>
      <c r="G70"/>
      <c r="H70"/>
      <c r="I70"/>
      <c r="J70"/>
      <c r="K70"/>
      <c r="S70" s="214"/>
      <c r="X70"/>
      <c r="Y70"/>
      <c r="Z70"/>
      <c r="AA70"/>
      <c r="AB70"/>
      <c r="AC70"/>
      <c r="AD70"/>
      <c r="AE70"/>
      <c r="AF70"/>
      <c r="AG70"/>
      <c r="AH70"/>
    </row>
    <row r="71" spans="2:34" ht="15" customHeight="1">
      <c r="B71"/>
      <c r="C71"/>
      <c r="D71"/>
      <c r="E71"/>
      <c r="F71"/>
      <c r="G71"/>
      <c r="H71"/>
      <c r="I71"/>
      <c r="J71"/>
      <c r="K71"/>
      <c r="X71"/>
      <c r="Y71"/>
      <c r="Z71"/>
      <c r="AA71"/>
      <c r="AB71"/>
      <c r="AC71"/>
      <c r="AD71"/>
      <c r="AE71"/>
      <c r="AF71"/>
      <c r="AG71"/>
      <c r="AH71"/>
    </row>
    <row r="72" spans="2:34" ht="15" customHeight="1">
      <c r="B72"/>
      <c r="C72"/>
      <c r="D72"/>
      <c r="E72"/>
      <c r="F72"/>
      <c r="G72"/>
      <c r="H72"/>
      <c r="I72"/>
      <c r="J72"/>
      <c r="K72"/>
      <c r="X72"/>
      <c r="Y72"/>
      <c r="Z72"/>
      <c r="AA72"/>
      <c r="AB72"/>
      <c r="AC72"/>
      <c r="AD72"/>
      <c r="AE72"/>
      <c r="AF72"/>
      <c r="AG72"/>
      <c r="AH72"/>
    </row>
    <row r="73" spans="2:34" ht="15" customHeight="1">
      <c r="B73"/>
      <c r="C73"/>
      <c r="D73"/>
      <c r="E73"/>
      <c r="F73"/>
      <c r="G73"/>
      <c r="H73"/>
      <c r="I73"/>
      <c r="J73"/>
      <c r="K73"/>
      <c r="X73"/>
      <c r="Y73"/>
      <c r="Z73"/>
      <c r="AA73"/>
      <c r="AB73"/>
      <c r="AC73"/>
      <c r="AD73"/>
      <c r="AE73"/>
      <c r="AF73"/>
      <c r="AG73"/>
      <c r="AH73"/>
    </row>
    <row r="74" spans="2:34" ht="15" customHeight="1">
      <c r="B74"/>
      <c r="C74"/>
      <c r="D74"/>
      <c r="E74"/>
      <c r="F74"/>
      <c r="G74"/>
      <c r="H74"/>
      <c r="I74"/>
      <c r="J74"/>
      <c r="K74"/>
      <c r="X74"/>
      <c r="Y74"/>
      <c r="Z74"/>
      <c r="AA74"/>
      <c r="AB74"/>
      <c r="AC74"/>
      <c r="AD74"/>
      <c r="AE74"/>
      <c r="AF74"/>
      <c r="AG74"/>
      <c r="AH74"/>
    </row>
    <row r="75" spans="2:34" ht="15" customHeight="1">
      <c r="B75"/>
      <c r="C75"/>
      <c r="D75"/>
      <c r="E75"/>
      <c r="F75"/>
      <c r="G75"/>
      <c r="H75"/>
      <c r="I75"/>
      <c r="J75"/>
      <c r="K75"/>
      <c r="X75"/>
      <c r="Y75"/>
      <c r="Z75"/>
      <c r="AA75"/>
      <c r="AB75"/>
      <c r="AC75"/>
      <c r="AD75"/>
      <c r="AE75"/>
      <c r="AF75"/>
      <c r="AG75"/>
      <c r="AH75"/>
    </row>
    <row r="76" spans="2:34" ht="15" customHeight="1">
      <c r="B76"/>
      <c r="C76"/>
      <c r="D76"/>
      <c r="E76"/>
      <c r="F76"/>
      <c r="G76"/>
      <c r="H76"/>
      <c r="I76"/>
      <c r="J76"/>
      <c r="K76"/>
      <c r="X76"/>
      <c r="Y76"/>
      <c r="Z76"/>
      <c r="AA76"/>
      <c r="AB76"/>
      <c r="AC76"/>
      <c r="AD76"/>
      <c r="AE76"/>
      <c r="AF76"/>
      <c r="AG76"/>
      <c r="AH76"/>
    </row>
    <row r="77" spans="2:34" ht="15" customHeight="1">
      <c r="B77"/>
      <c r="C77"/>
      <c r="D77"/>
      <c r="E77"/>
      <c r="F77"/>
      <c r="G77"/>
      <c r="H77"/>
      <c r="I77"/>
      <c r="J77"/>
      <c r="K77"/>
      <c r="X77"/>
      <c r="Y77"/>
      <c r="Z77"/>
      <c r="AA77"/>
      <c r="AB77"/>
      <c r="AC77"/>
      <c r="AD77"/>
      <c r="AE77"/>
      <c r="AF77"/>
      <c r="AG77"/>
      <c r="AH77"/>
    </row>
    <row r="78" spans="2:34" ht="15" customHeight="1">
      <c r="B78"/>
      <c r="C78"/>
      <c r="D78"/>
      <c r="E78"/>
      <c r="F78"/>
      <c r="G78"/>
      <c r="H78"/>
      <c r="I78"/>
      <c r="J78"/>
      <c r="K78"/>
    </row>
    <row r="79" spans="2:34" ht="15" customHeight="1">
      <c r="B79"/>
      <c r="C79"/>
      <c r="D79"/>
      <c r="E79"/>
      <c r="F79"/>
      <c r="G79"/>
      <c r="H79"/>
      <c r="I79"/>
      <c r="J79"/>
      <c r="K79"/>
    </row>
    <row r="80" spans="2:34" ht="15" customHeight="1">
      <c r="B80"/>
      <c r="C80"/>
      <c r="D80"/>
      <c r="E80"/>
      <c r="F80"/>
      <c r="G80"/>
      <c r="H80"/>
      <c r="I80"/>
      <c r="J80"/>
      <c r="K80"/>
    </row>
    <row r="81" spans="2:11" ht="15" customHeight="1">
      <c r="B81"/>
      <c r="C81"/>
      <c r="D81"/>
      <c r="E81"/>
      <c r="F81"/>
      <c r="G81"/>
      <c r="H81"/>
      <c r="I81"/>
      <c r="J81"/>
      <c r="K81"/>
    </row>
    <row r="82" spans="2:11" ht="15" customHeight="1">
      <c r="B82"/>
      <c r="C82"/>
      <c r="D82"/>
      <c r="E82"/>
      <c r="F82"/>
      <c r="G82"/>
      <c r="H82"/>
      <c r="I82"/>
      <c r="J82"/>
      <c r="K82"/>
    </row>
    <row r="83" spans="2:11" ht="15" customHeight="1">
      <c r="B83"/>
      <c r="C83"/>
      <c r="D83"/>
      <c r="E83"/>
      <c r="F83"/>
      <c r="G83"/>
      <c r="H83"/>
      <c r="I83"/>
      <c r="J83"/>
      <c r="K83"/>
    </row>
  </sheetData>
  <mergeCells count="40">
    <mergeCell ref="B1:K1"/>
    <mergeCell ref="I53:K53"/>
    <mergeCell ref="F53:H53"/>
    <mergeCell ref="B37:B38"/>
    <mergeCell ref="I37:K37"/>
    <mergeCell ref="I21:K21"/>
    <mergeCell ref="C21:E21"/>
    <mergeCell ref="B3:K3"/>
    <mergeCell ref="B4:K4"/>
    <mergeCell ref="B5:B6"/>
    <mergeCell ref="C5:E5"/>
    <mergeCell ref="F5:H5"/>
    <mergeCell ref="B53:B54"/>
    <mergeCell ref="C53:E53"/>
    <mergeCell ref="F37:H37"/>
    <mergeCell ref="T37:V37"/>
    <mergeCell ref="N37:P37"/>
    <mergeCell ref="C37:E37"/>
    <mergeCell ref="M37:M38"/>
    <mergeCell ref="Q37:S37"/>
    <mergeCell ref="T53:V53"/>
    <mergeCell ref="Q53:S53"/>
    <mergeCell ref="N53:P53"/>
    <mergeCell ref="M53:M54"/>
    <mergeCell ref="M1:V1"/>
    <mergeCell ref="F21:H21"/>
    <mergeCell ref="T21:V21"/>
    <mergeCell ref="B2:K2"/>
    <mergeCell ref="I5:K5"/>
    <mergeCell ref="M2:V2"/>
    <mergeCell ref="M3:V3"/>
    <mergeCell ref="M4:V4"/>
    <mergeCell ref="M5:M6"/>
    <mergeCell ref="N5:P5"/>
    <mergeCell ref="Q5:S5"/>
    <mergeCell ref="T5:V5"/>
    <mergeCell ref="M21:M22"/>
    <mergeCell ref="B21:B22"/>
    <mergeCell ref="Q21:S21"/>
    <mergeCell ref="N21:P21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scale="42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4"/>
    <pageSetUpPr fitToPage="1"/>
  </sheetPr>
  <dimension ref="B1:T67"/>
  <sheetViews>
    <sheetView workbookViewId="0">
      <selection activeCell="B4" sqref="B4:O4"/>
    </sheetView>
  </sheetViews>
  <sheetFormatPr baseColWidth="10" defaultColWidth="12.5546875" defaultRowHeight="15" customHeight="1"/>
  <cols>
    <col min="1" max="1" width="2.6640625" style="10" customWidth="1"/>
    <col min="2" max="2" width="15.6640625" style="6" customWidth="1"/>
    <col min="3" max="3" width="15.6640625" style="10" customWidth="1"/>
    <col min="4" max="15" width="12.6640625" style="10" customWidth="1"/>
    <col min="16" max="16384" width="12.5546875" style="10"/>
  </cols>
  <sheetData>
    <row r="1" spans="2:20" ht="15" customHeight="1">
      <c r="B1" s="678" t="s">
        <v>29</v>
      </c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</row>
    <row r="2" spans="2:20" ht="15" customHeight="1">
      <c r="B2" s="678" t="s">
        <v>147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</row>
    <row r="3" spans="2:20" ht="15" customHeight="1">
      <c r="B3" s="678" t="s">
        <v>351</v>
      </c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</row>
    <row r="4" spans="2:20" ht="15" customHeight="1" thickBot="1">
      <c r="B4" s="678" t="s">
        <v>37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</row>
    <row r="5" spans="2:20" s="11" customFormat="1" ht="24.9" customHeight="1" thickBot="1">
      <c r="B5" s="397" t="s">
        <v>41</v>
      </c>
      <c r="C5" s="398" t="s">
        <v>74</v>
      </c>
      <c r="D5" s="399" t="s">
        <v>44</v>
      </c>
      <c r="E5" s="399" t="s">
        <v>45</v>
      </c>
      <c r="F5" s="399" t="s">
        <v>46</v>
      </c>
      <c r="G5" s="399" t="s">
        <v>47</v>
      </c>
      <c r="H5" s="399" t="s">
        <v>48</v>
      </c>
      <c r="I5" s="399" t="s">
        <v>49</v>
      </c>
      <c r="J5" s="399" t="s">
        <v>50</v>
      </c>
      <c r="K5" s="399" t="s">
        <v>51</v>
      </c>
      <c r="L5" s="399" t="s">
        <v>52</v>
      </c>
      <c r="M5" s="399" t="s">
        <v>53</v>
      </c>
      <c r="N5" s="399" t="s">
        <v>54</v>
      </c>
      <c r="O5" s="400" t="s">
        <v>55</v>
      </c>
    </row>
    <row r="6" spans="2:20" ht="15" customHeight="1">
      <c r="B6" s="401">
        <v>1980</v>
      </c>
      <c r="C6" s="40">
        <f t="shared" ref="C6:C22" si="0">SUM(D6:O6)</f>
        <v>1472.9540000000002</v>
      </c>
      <c r="D6" s="36">
        <v>114.842</v>
      </c>
      <c r="E6" s="36">
        <v>113.49299999999999</v>
      </c>
      <c r="F6" s="36">
        <v>119.229</v>
      </c>
      <c r="G6" s="36">
        <v>125.691</v>
      </c>
      <c r="H6" s="36">
        <v>122.014</v>
      </c>
      <c r="I6" s="36">
        <v>125.30500000000001</v>
      </c>
      <c r="J6" s="36">
        <v>123.6</v>
      </c>
      <c r="K6" s="36">
        <v>126.92700000000001</v>
      </c>
      <c r="L6" s="36">
        <v>124.752</v>
      </c>
      <c r="M6" s="36">
        <v>127.95</v>
      </c>
      <c r="N6" s="36">
        <v>125.84399999999999</v>
      </c>
      <c r="O6" s="37">
        <v>123.307</v>
      </c>
    </row>
    <row r="7" spans="2:20" ht="15" customHeight="1">
      <c r="B7" s="402">
        <v>1981</v>
      </c>
      <c r="C7" s="41">
        <f t="shared" si="0"/>
        <v>1554.2829999999999</v>
      </c>
      <c r="D7" s="34">
        <v>127.696</v>
      </c>
      <c r="E7" s="34">
        <v>119.322</v>
      </c>
      <c r="F7" s="34">
        <v>125.48399999999999</v>
      </c>
      <c r="G7" s="34">
        <v>124.703</v>
      </c>
      <c r="H7" s="34">
        <v>127.67</v>
      </c>
      <c r="I7" s="34">
        <v>132.33799999999999</v>
      </c>
      <c r="J7" s="34">
        <v>134.01400000000001</v>
      </c>
      <c r="K7" s="34">
        <v>131.03</v>
      </c>
      <c r="L7" s="34">
        <v>133.71700000000001</v>
      </c>
      <c r="M7" s="34">
        <v>136.26499999999999</v>
      </c>
      <c r="N7" s="34">
        <v>130.465</v>
      </c>
      <c r="O7" s="38">
        <v>131.57900000000001</v>
      </c>
    </row>
    <row r="8" spans="2:20" ht="15" customHeight="1">
      <c r="B8" s="402">
        <v>1982</v>
      </c>
      <c r="C8" s="41">
        <f t="shared" si="0"/>
        <v>1674.8330000000003</v>
      </c>
      <c r="D8" s="34">
        <v>129.79900000000001</v>
      </c>
      <c r="E8" s="34">
        <v>129.65600000000001</v>
      </c>
      <c r="F8" s="34">
        <v>132.69999999999999</v>
      </c>
      <c r="G8" s="34">
        <v>144.15</v>
      </c>
      <c r="H8" s="34">
        <v>132.571</v>
      </c>
      <c r="I8" s="34">
        <v>135.14400000000001</v>
      </c>
      <c r="J8" s="34">
        <v>145.24299999999999</v>
      </c>
      <c r="K8" s="34">
        <v>140.471</v>
      </c>
      <c r="L8" s="34">
        <v>140.87700000000001</v>
      </c>
      <c r="M8" s="34">
        <v>150.178</v>
      </c>
      <c r="N8" s="34">
        <v>141.75899999999999</v>
      </c>
      <c r="O8" s="38">
        <v>152.285</v>
      </c>
    </row>
    <row r="9" spans="2:20" ht="15" customHeight="1">
      <c r="B9" s="402">
        <v>1983</v>
      </c>
      <c r="C9" s="41">
        <f t="shared" si="0"/>
        <v>1850.6330000000003</v>
      </c>
      <c r="D9" s="34">
        <v>145.74799999999999</v>
      </c>
      <c r="E9" s="34">
        <v>153.285</v>
      </c>
      <c r="F9" s="34">
        <v>156.53</v>
      </c>
      <c r="G9" s="34">
        <v>157.96700000000001</v>
      </c>
      <c r="H9" s="34">
        <v>159.10300000000001</v>
      </c>
      <c r="I9" s="34">
        <v>157.26</v>
      </c>
      <c r="J9" s="34">
        <v>159.02799999999999</v>
      </c>
      <c r="K9" s="34">
        <v>153.649</v>
      </c>
      <c r="L9" s="34">
        <v>159.16</v>
      </c>
      <c r="M9" s="34">
        <v>150.136</v>
      </c>
      <c r="N9" s="34">
        <v>146.35499999999999</v>
      </c>
      <c r="O9" s="38">
        <v>152.41200000000001</v>
      </c>
    </row>
    <row r="10" spans="2:20" ht="15" customHeight="1">
      <c r="B10" s="402">
        <v>1984</v>
      </c>
      <c r="C10" s="41">
        <f t="shared" si="0"/>
        <v>1816.57</v>
      </c>
      <c r="D10" s="34">
        <v>147.869</v>
      </c>
      <c r="E10" s="34">
        <v>145.73599999999999</v>
      </c>
      <c r="F10" s="34">
        <v>154.19</v>
      </c>
      <c r="G10" s="34">
        <v>148.37200000000001</v>
      </c>
      <c r="H10" s="34">
        <v>148.309</v>
      </c>
      <c r="I10" s="34">
        <v>151.04499999999999</v>
      </c>
      <c r="J10" s="34">
        <v>152.71100000000001</v>
      </c>
      <c r="K10" s="34">
        <v>147.42699999999999</v>
      </c>
      <c r="L10" s="34">
        <v>154.786</v>
      </c>
      <c r="M10" s="34">
        <v>158.423</v>
      </c>
      <c r="N10" s="34">
        <v>151.12700000000001</v>
      </c>
      <c r="O10" s="38">
        <v>156.57499999999999</v>
      </c>
    </row>
    <row r="11" spans="2:20" ht="15" customHeight="1">
      <c r="B11" s="402">
        <v>1985</v>
      </c>
      <c r="C11" s="41">
        <f t="shared" si="0"/>
        <v>1944.123</v>
      </c>
      <c r="D11" s="34">
        <v>152.809</v>
      </c>
      <c r="E11" s="34">
        <v>154.535</v>
      </c>
      <c r="F11" s="34">
        <v>159.47399999999999</v>
      </c>
      <c r="G11" s="34">
        <v>159.91499999999999</v>
      </c>
      <c r="H11" s="34">
        <v>162.97999999999999</v>
      </c>
      <c r="I11" s="34">
        <v>163.23500000000001</v>
      </c>
      <c r="J11" s="34">
        <v>170.19300000000001</v>
      </c>
      <c r="K11" s="34">
        <v>155.97499999999999</v>
      </c>
      <c r="L11" s="34">
        <v>162.596</v>
      </c>
      <c r="M11" s="34">
        <v>164.35400000000001</v>
      </c>
      <c r="N11" s="34">
        <v>172.827</v>
      </c>
      <c r="O11" s="38">
        <v>165.23</v>
      </c>
    </row>
    <row r="12" spans="2:20" ht="15" customHeight="1">
      <c r="B12" s="402">
        <v>1986</v>
      </c>
      <c r="C12" s="41">
        <f t="shared" si="0"/>
        <v>2045.0640000000001</v>
      </c>
      <c r="D12" s="34">
        <v>169.87899999999999</v>
      </c>
      <c r="E12" s="34">
        <v>162.636</v>
      </c>
      <c r="F12" s="34">
        <v>155.27699999999999</v>
      </c>
      <c r="G12" s="34">
        <v>167.58799999999999</v>
      </c>
      <c r="H12" s="34">
        <v>176.31299999999999</v>
      </c>
      <c r="I12" s="34">
        <v>173.88499999999999</v>
      </c>
      <c r="J12" s="34">
        <v>172.31800000000001</v>
      </c>
      <c r="K12" s="34">
        <v>176.57300000000001</v>
      </c>
      <c r="L12" s="34">
        <v>173.59200000000001</v>
      </c>
      <c r="M12" s="34">
        <v>172.024</v>
      </c>
      <c r="N12" s="34">
        <v>174.29599999999999</v>
      </c>
      <c r="O12" s="38">
        <v>170.68299999999999</v>
      </c>
    </row>
    <row r="13" spans="2:20" ht="15" customHeight="1">
      <c r="B13" s="402">
        <v>1987</v>
      </c>
      <c r="C13" s="41">
        <f t="shared" si="0"/>
        <v>2191.1000000000004</v>
      </c>
      <c r="D13" s="34">
        <v>180.86</v>
      </c>
      <c r="E13" s="34">
        <v>171.245</v>
      </c>
      <c r="F13" s="34">
        <v>188.20099999999999</v>
      </c>
      <c r="G13" s="34">
        <v>172.03399999999999</v>
      </c>
      <c r="H13" s="34">
        <v>186.32300000000001</v>
      </c>
      <c r="I13" s="34">
        <v>187.601</v>
      </c>
      <c r="J13" s="34">
        <v>184.96100000000001</v>
      </c>
      <c r="K13" s="34">
        <v>179.345</v>
      </c>
      <c r="L13" s="34">
        <v>187.33500000000001</v>
      </c>
      <c r="M13" s="34">
        <v>193.447</v>
      </c>
      <c r="N13" s="34">
        <v>182.02500000000001</v>
      </c>
      <c r="O13" s="38">
        <v>177.72300000000001</v>
      </c>
      <c r="Q13" s="242"/>
      <c r="S13" s="242"/>
      <c r="T13" s="320"/>
    </row>
    <row r="14" spans="2:20" ht="15" customHeight="1">
      <c r="B14" s="402">
        <v>1988</v>
      </c>
      <c r="C14" s="41">
        <f t="shared" si="0"/>
        <v>2063.0940000000001</v>
      </c>
      <c r="D14" s="34">
        <v>195.72900000000001</v>
      </c>
      <c r="E14" s="34">
        <v>180.52600000000001</v>
      </c>
      <c r="F14" s="34">
        <v>190.27500000000001</v>
      </c>
      <c r="G14" s="34">
        <v>171.05199999999999</v>
      </c>
      <c r="H14" s="34">
        <v>159.61799999999999</v>
      </c>
      <c r="I14" s="34">
        <v>163.06100000000001</v>
      </c>
      <c r="J14" s="34">
        <v>159.97</v>
      </c>
      <c r="K14" s="34">
        <v>162.57499999999999</v>
      </c>
      <c r="L14" s="34">
        <v>173.44300000000001</v>
      </c>
      <c r="M14" s="34">
        <v>166.47200000000001</v>
      </c>
      <c r="N14" s="34">
        <v>165.7</v>
      </c>
      <c r="O14" s="38">
        <v>174.673</v>
      </c>
      <c r="Q14" s="242"/>
      <c r="S14" s="242"/>
      <c r="T14" s="320"/>
    </row>
    <row r="15" spans="2:20" ht="15" customHeight="1">
      <c r="B15" s="402">
        <v>1989</v>
      </c>
      <c r="C15" s="41">
        <f t="shared" si="0"/>
        <v>1983.65</v>
      </c>
      <c r="D15" s="34">
        <v>166.93100000000001</v>
      </c>
      <c r="E15" s="34">
        <v>161.9</v>
      </c>
      <c r="F15" s="34">
        <v>160.851</v>
      </c>
      <c r="G15" s="34">
        <v>163.61699999999999</v>
      </c>
      <c r="H15" s="34">
        <v>164.86199999999999</v>
      </c>
      <c r="I15" s="34">
        <v>161.99600000000001</v>
      </c>
      <c r="J15" s="34">
        <v>170.56399999999999</v>
      </c>
      <c r="K15" s="34">
        <v>164.18700000000001</v>
      </c>
      <c r="L15" s="34">
        <v>167.45</v>
      </c>
      <c r="M15" s="34">
        <v>167.09200000000001</v>
      </c>
      <c r="N15" s="34">
        <v>168.62100000000001</v>
      </c>
      <c r="O15" s="38">
        <v>165.57900000000001</v>
      </c>
      <c r="Q15" s="242"/>
      <c r="S15" s="242"/>
      <c r="T15" s="320"/>
    </row>
    <row r="16" spans="2:20" ht="15" customHeight="1">
      <c r="B16" s="402">
        <v>1990</v>
      </c>
      <c r="C16" s="41">
        <f t="shared" si="0"/>
        <v>2053.038</v>
      </c>
      <c r="D16" s="34">
        <v>163.71700000000001</v>
      </c>
      <c r="E16" s="34">
        <v>158.23099999999999</v>
      </c>
      <c r="F16" s="34">
        <v>166.929</v>
      </c>
      <c r="G16" s="34">
        <v>166.76300000000001</v>
      </c>
      <c r="H16" s="34">
        <v>172.68299999999999</v>
      </c>
      <c r="I16" s="34">
        <v>171.45599999999999</v>
      </c>
      <c r="J16" s="34">
        <v>175.52099999999999</v>
      </c>
      <c r="K16" s="34">
        <v>171.61699999999999</v>
      </c>
      <c r="L16" s="34">
        <v>172.00299999999999</v>
      </c>
      <c r="M16" s="34">
        <v>178.99</v>
      </c>
      <c r="N16" s="34">
        <v>172.15100000000001</v>
      </c>
      <c r="O16" s="38">
        <v>182.977</v>
      </c>
      <c r="Q16" s="242"/>
      <c r="S16" s="242"/>
      <c r="T16" s="320"/>
    </row>
    <row r="17" spans="2:20" ht="15" customHeight="1">
      <c r="B17" s="402">
        <v>1991</v>
      </c>
      <c r="C17" s="41">
        <f t="shared" si="0"/>
        <v>2185.864</v>
      </c>
      <c r="D17" s="34">
        <v>179.81899999999999</v>
      </c>
      <c r="E17" s="34">
        <v>171.56399999999999</v>
      </c>
      <c r="F17" s="34">
        <v>181.244</v>
      </c>
      <c r="G17" s="34">
        <v>172.374</v>
      </c>
      <c r="H17" s="34">
        <v>181.905</v>
      </c>
      <c r="I17" s="34">
        <v>181.03899999999999</v>
      </c>
      <c r="J17" s="34">
        <v>189.60400000000001</v>
      </c>
      <c r="K17" s="34">
        <v>184.04499999999999</v>
      </c>
      <c r="L17" s="34">
        <v>185.685</v>
      </c>
      <c r="M17" s="34">
        <v>187.25299999999999</v>
      </c>
      <c r="N17" s="34">
        <v>183.11500000000001</v>
      </c>
      <c r="O17" s="38">
        <v>188.21700000000001</v>
      </c>
      <c r="Q17" s="242"/>
      <c r="S17" s="242"/>
      <c r="T17" s="320"/>
    </row>
    <row r="18" spans="2:20" ht="15" customHeight="1">
      <c r="B18" s="402">
        <v>1992</v>
      </c>
      <c r="C18" s="41">
        <f t="shared" si="0"/>
        <v>2311.4409999999998</v>
      </c>
      <c r="D18" s="34">
        <v>191.24700000000001</v>
      </c>
      <c r="E18" s="34">
        <v>184.398</v>
      </c>
      <c r="F18" s="34">
        <v>192.09100000000001</v>
      </c>
      <c r="G18" s="34">
        <v>186.43799999999999</v>
      </c>
      <c r="H18" s="34">
        <v>189.803</v>
      </c>
      <c r="I18" s="34">
        <v>192.982</v>
      </c>
      <c r="J18" s="34">
        <v>194.892</v>
      </c>
      <c r="K18" s="34">
        <v>192.56100000000001</v>
      </c>
      <c r="L18" s="34">
        <v>196.86500000000001</v>
      </c>
      <c r="M18" s="34">
        <v>195.08699999999999</v>
      </c>
      <c r="N18" s="34">
        <v>199.988</v>
      </c>
      <c r="O18" s="38">
        <v>195.089</v>
      </c>
      <c r="Q18" s="242"/>
      <c r="S18" s="242"/>
      <c r="T18" s="320"/>
    </row>
    <row r="19" spans="2:20" ht="15" customHeight="1">
      <c r="B19" s="402">
        <v>1993</v>
      </c>
      <c r="C19" s="41">
        <f t="shared" si="0"/>
        <v>2486.1999999999998</v>
      </c>
      <c r="D19" s="22">
        <v>201.2</v>
      </c>
      <c r="E19" s="22">
        <v>193.9</v>
      </c>
      <c r="F19" s="22">
        <v>210.1</v>
      </c>
      <c r="G19" s="22">
        <v>200.4</v>
      </c>
      <c r="H19" s="22">
        <v>208.4</v>
      </c>
      <c r="I19" s="22">
        <v>207.2</v>
      </c>
      <c r="J19" s="22">
        <v>208.5</v>
      </c>
      <c r="K19" s="22">
        <v>208.8</v>
      </c>
      <c r="L19" s="22">
        <v>213.2</v>
      </c>
      <c r="M19" s="22">
        <v>210.9</v>
      </c>
      <c r="N19" s="22">
        <v>209.9</v>
      </c>
      <c r="O19" s="39">
        <v>213.7</v>
      </c>
      <c r="Q19" s="242"/>
      <c r="S19" s="242"/>
      <c r="T19" s="320"/>
    </row>
    <row r="20" spans="2:20" ht="15" customHeight="1">
      <c r="B20" s="402">
        <v>1994</v>
      </c>
      <c r="C20" s="41">
        <f t="shared" si="0"/>
        <v>2674</v>
      </c>
      <c r="D20" s="24">
        <v>222.5</v>
      </c>
      <c r="E20" s="24">
        <v>209.6</v>
      </c>
      <c r="F20" s="24">
        <v>213.5</v>
      </c>
      <c r="G20" s="24">
        <v>217.1</v>
      </c>
      <c r="H20" s="24">
        <v>222.8</v>
      </c>
      <c r="I20" s="24">
        <v>222.7</v>
      </c>
      <c r="J20" s="24">
        <v>232.6</v>
      </c>
      <c r="K20" s="24">
        <v>225.2</v>
      </c>
      <c r="L20" s="24">
        <v>230</v>
      </c>
      <c r="M20" s="24">
        <v>220.5</v>
      </c>
      <c r="N20" s="24">
        <v>225.9</v>
      </c>
      <c r="O20" s="26">
        <v>231.6</v>
      </c>
      <c r="Q20" s="242"/>
      <c r="S20" s="242"/>
      <c r="T20" s="320"/>
    </row>
    <row r="21" spans="2:20" ht="15" customHeight="1">
      <c r="B21" s="402">
        <v>1995</v>
      </c>
      <c r="C21" s="41">
        <f t="shared" si="0"/>
        <v>2869.7000000000003</v>
      </c>
      <c r="D21" s="24">
        <v>230.6</v>
      </c>
      <c r="E21" s="24">
        <v>227.6</v>
      </c>
      <c r="F21" s="24">
        <v>225.2</v>
      </c>
      <c r="G21" s="24">
        <v>228</v>
      </c>
      <c r="H21" s="24">
        <v>240</v>
      </c>
      <c r="I21" s="24">
        <v>246.6</v>
      </c>
      <c r="J21" s="24">
        <v>241.2</v>
      </c>
      <c r="K21" s="24">
        <v>249.8</v>
      </c>
      <c r="L21" s="24">
        <v>249.8</v>
      </c>
      <c r="M21" s="24">
        <v>254.8</v>
      </c>
      <c r="N21" s="24">
        <v>239.4</v>
      </c>
      <c r="O21" s="26">
        <v>236.7</v>
      </c>
      <c r="Q21" s="242"/>
      <c r="S21" s="242"/>
      <c r="T21" s="320"/>
    </row>
    <row r="22" spans="2:20" ht="15" customHeight="1">
      <c r="B22" s="402">
        <v>1996</v>
      </c>
      <c r="C22" s="41">
        <f t="shared" si="0"/>
        <v>2984.0030000000002</v>
      </c>
      <c r="D22" s="24">
        <v>243.07499999999999</v>
      </c>
      <c r="E22" s="24">
        <v>229.28700000000001</v>
      </c>
      <c r="F22" s="24">
        <v>243.81</v>
      </c>
      <c r="G22" s="24">
        <v>239.422</v>
      </c>
      <c r="H22" s="24">
        <v>252.92</v>
      </c>
      <c r="I22" s="24">
        <v>240.15</v>
      </c>
      <c r="J22" s="24">
        <v>251.59899999999999</v>
      </c>
      <c r="K22" s="24">
        <v>245.79300000000001</v>
      </c>
      <c r="L22" s="24">
        <v>252.79300000000001</v>
      </c>
      <c r="M22" s="24">
        <v>261.86099999999999</v>
      </c>
      <c r="N22" s="24">
        <v>255.84700000000001</v>
      </c>
      <c r="O22" s="26">
        <v>267.44600000000003</v>
      </c>
      <c r="Q22" s="242"/>
      <c r="S22" s="242"/>
      <c r="T22" s="320"/>
    </row>
    <row r="23" spans="2:20" ht="15" customHeight="1">
      <c r="B23" s="402">
        <v>1997</v>
      </c>
      <c r="C23" s="41">
        <f t="shared" ref="C23:C30" si="1">SUM(D23:O23)</f>
        <v>3302.1110000000003</v>
      </c>
      <c r="D23" s="24">
        <v>261.52999999999997</v>
      </c>
      <c r="E23" s="24">
        <v>244.3</v>
      </c>
      <c r="F23" s="24">
        <v>291.92200000000003</v>
      </c>
      <c r="G23" s="24">
        <v>284.7</v>
      </c>
      <c r="H23" s="24">
        <v>277.88</v>
      </c>
      <c r="I23" s="24">
        <v>282.24</v>
      </c>
      <c r="J23" s="24">
        <v>273.096</v>
      </c>
      <c r="K23" s="24">
        <v>282.38799999999998</v>
      </c>
      <c r="L23" s="24">
        <v>286.28899999999999</v>
      </c>
      <c r="M23" s="24">
        <v>273.04599999999999</v>
      </c>
      <c r="N23" s="24">
        <v>278.46699999999998</v>
      </c>
      <c r="O23" s="26">
        <v>266.25299999999999</v>
      </c>
      <c r="Q23" s="242"/>
      <c r="S23" s="242"/>
      <c r="T23" s="320"/>
    </row>
    <row r="24" spans="2:20" ht="15" customHeight="1">
      <c r="B24" s="402">
        <v>1998</v>
      </c>
      <c r="C24" s="41">
        <f t="shared" si="1"/>
        <v>3392.2890000000002</v>
      </c>
      <c r="D24" s="24">
        <v>286.72199999999998</v>
      </c>
      <c r="E24" s="24">
        <v>282.08199999999999</v>
      </c>
      <c r="F24" s="24">
        <v>284.66699999999997</v>
      </c>
      <c r="G24" s="24">
        <v>279.39100000000002</v>
      </c>
      <c r="H24" s="35">
        <v>273.62299999999999</v>
      </c>
      <c r="I24" s="24">
        <v>272.21199999999999</v>
      </c>
      <c r="J24" s="24">
        <v>282.68599999999998</v>
      </c>
      <c r="K24" s="24">
        <v>281.89</v>
      </c>
      <c r="L24" s="24">
        <v>279.03100000000001</v>
      </c>
      <c r="M24" s="24">
        <v>290</v>
      </c>
      <c r="N24" s="24">
        <v>288.755</v>
      </c>
      <c r="O24" s="26">
        <v>291.23</v>
      </c>
      <c r="Q24" s="242"/>
      <c r="R24" s="233"/>
      <c r="S24" s="242"/>
      <c r="T24" s="320"/>
    </row>
    <row r="25" spans="2:20" ht="15" customHeight="1">
      <c r="B25" s="402">
        <v>1999</v>
      </c>
      <c r="C25" s="41">
        <f t="shared" si="1"/>
        <v>3578.0000000000005</v>
      </c>
      <c r="D25" s="24">
        <f>120.5+143.1+22.3</f>
        <v>285.90000000000003</v>
      </c>
      <c r="E25" s="24">
        <f>121.3+143.1+24</f>
        <v>288.39999999999998</v>
      </c>
      <c r="F25" s="24">
        <f>121.2+146.3+24.3</f>
        <v>291.8</v>
      </c>
      <c r="G25" s="24">
        <f>134+151.9+23.9</f>
        <v>309.79999999999995</v>
      </c>
      <c r="H25" s="35">
        <f>123.7+155+25.5</f>
        <v>304.2</v>
      </c>
      <c r="I25" s="24">
        <f>123.5+154.9+25.2</f>
        <v>303.59999999999997</v>
      </c>
      <c r="J25" s="24">
        <f>117.9+151.4+24.6</f>
        <v>293.90000000000003</v>
      </c>
      <c r="K25" s="24">
        <f>121.5+152.2+24.6</f>
        <v>298.3</v>
      </c>
      <c r="L25" s="24">
        <f>123.4+158.7+25.7</f>
        <v>307.8</v>
      </c>
      <c r="M25" s="24">
        <f>121.5+153.5+25.3</f>
        <v>300.3</v>
      </c>
      <c r="N25" s="24">
        <f>123.2+154+25.6</f>
        <v>302.8</v>
      </c>
      <c r="O25" s="26">
        <f>120.2+143.8+27.2</f>
        <v>291.2</v>
      </c>
      <c r="Q25" s="242"/>
      <c r="R25" s="242"/>
      <c r="S25" s="242"/>
      <c r="T25" s="320"/>
    </row>
    <row r="26" spans="2:20" ht="15" customHeight="1">
      <c r="B26" s="402">
        <v>2000</v>
      </c>
      <c r="C26" s="41">
        <f t="shared" si="1"/>
        <v>3801.1000000000004</v>
      </c>
      <c r="D26" s="24">
        <f>118.7+179.3+2.6</f>
        <v>300.60000000000002</v>
      </c>
      <c r="E26" s="24">
        <f>126.3+169.5+2.6</f>
        <v>298.40000000000003</v>
      </c>
      <c r="F26" s="24">
        <f>126+182.2+2.6</f>
        <v>310.8</v>
      </c>
      <c r="G26" s="24">
        <f>124.6+169.9+2.6</f>
        <v>297.10000000000002</v>
      </c>
      <c r="H26" s="35">
        <f>126+207.6+2.6</f>
        <v>336.20000000000005</v>
      </c>
      <c r="I26" s="24">
        <f>130.1+180.4+2.6</f>
        <v>313.10000000000002</v>
      </c>
      <c r="J26" s="24">
        <f>132.4+191.4+2.6</f>
        <v>326.40000000000003</v>
      </c>
      <c r="K26" s="24">
        <f>130.5+168.3+2.7</f>
        <v>301.5</v>
      </c>
      <c r="L26" s="24">
        <f>136+204.2+2.7</f>
        <v>342.9</v>
      </c>
      <c r="M26" s="24">
        <f>141+212.3+2.7</f>
        <v>356</v>
      </c>
      <c r="N26" s="24">
        <f>135.6+171.7+2.7</f>
        <v>309.99999999999994</v>
      </c>
      <c r="O26" s="26">
        <f>131+174.4+2.7</f>
        <v>308.09999999999997</v>
      </c>
      <c r="Q26" s="242"/>
      <c r="R26" s="233"/>
      <c r="T26" s="233"/>
    </row>
    <row r="27" spans="2:20" ht="15" customHeight="1">
      <c r="B27" s="403">
        <v>2001</v>
      </c>
      <c r="C27" s="137">
        <f t="shared" si="1"/>
        <v>3933.9000000000005</v>
      </c>
      <c r="D27" s="138">
        <f>26.9+167.6+128.2+4</f>
        <v>326.7</v>
      </c>
      <c r="E27" s="138">
        <f>26.7+155.5+115.6+3.8</f>
        <v>301.59999999999997</v>
      </c>
      <c r="F27" s="138">
        <f>25.4+157.3+126.9+4.1</f>
        <v>313.70000000000005</v>
      </c>
      <c r="G27" s="138">
        <f>28.7+170+130.1+3.9</f>
        <v>332.69999999999993</v>
      </c>
      <c r="H27" s="139">
        <f>28.3+168.9+134.5+3.7</f>
        <v>335.40000000000003</v>
      </c>
      <c r="I27" s="138">
        <f>29.4+172.7+132+3.4</f>
        <v>337.5</v>
      </c>
      <c r="J27" s="138">
        <f>26.9+165.8+132.6+3.5</f>
        <v>328.8</v>
      </c>
      <c r="K27" s="138">
        <f>26.9+161.3+135.9+3.7</f>
        <v>327.8</v>
      </c>
      <c r="L27" s="138">
        <f>27.1+170.5+128+3.9</f>
        <v>329.5</v>
      </c>
      <c r="M27" s="138">
        <f>27.7+163.5+131.5+5.6</f>
        <v>328.3</v>
      </c>
      <c r="N27" s="138">
        <f>30+172.6+128.2+4.7</f>
        <v>335.49999999999994</v>
      </c>
      <c r="O27" s="140">
        <f>28.3+171.4+130.8+5.9</f>
        <v>336.4</v>
      </c>
      <c r="R27" s="233"/>
      <c r="T27" s="233"/>
    </row>
    <row r="28" spans="2:20" ht="15" customHeight="1">
      <c r="B28" s="402">
        <v>2002</v>
      </c>
      <c r="C28" s="41">
        <f>SUM(D28:O28)</f>
        <v>4113</v>
      </c>
      <c r="D28" s="24">
        <f>128.9+29.8+160.6+5.6</f>
        <v>324.90000000000003</v>
      </c>
      <c r="E28" s="24">
        <f>165.7+121.9+28+5.5</f>
        <v>321.10000000000002</v>
      </c>
      <c r="F28" s="24">
        <f>155.4+127.3+27.4+6.6</f>
        <v>316.7</v>
      </c>
      <c r="G28" s="24">
        <f>169.9+133.8+29.9+6.3</f>
        <v>339.90000000000003</v>
      </c>
      <c r="H28" s="35">
        <f>178.7+145.1+30.5+6.3</f>
        <v>360.59999999999997</v>
      </c>
      <c r="I28" s="24">
        <f>136.9+179+30.5+5.1</f>
        <v>351.5</v>
      </c>
      <c r="J28" s="24">
        <f>174+136.9+28.7+6</f>
        <v>345.59999999999997</v>
      </c>
      <c r="K28" s="24">
        <f>179.8+141.2+30+6</f>
        <v>357</v>
      </c>
      <c r="L28" s="24">
        <f>181.6+135.1+30.9+5.7</f>
        <v>353.29999999999995</v>
      </c>
      <c r="M28" s="24">
        <f>169.2+138+29+6.3</f>
        <v>342.5</v>
      </c>
      <c r="N28" s="24">
        <f>169+134.5+28.1+5.5</f>
        <v>337.1</v>
      </c>
      <c r="O28" s="26">
        <f>182.7+142.6+31.5+6</f>
        <v>362.79999999999995</v>
      </c>
      <c r="R28" s="233"/>
      <c r="T28" s="233"/>
    </row>
    <row r="29" spans="2:20" ht="15" customHeight="1">
      <c r="B29" s="402">
        <v>2003</v>
      </c>
      <c r="C29" s="41">
        <f>SUM(D29:O29)</f>
        <v>4306.8999999999996</v>
      </c>
      <c r="D29" s="24">
        <f>348.7+6.1</f>
        <v>354.8</v>
      </c>
      <c r="E29" s="24">
        <f>337.9+6.1</f>
        <v>344</v>
      </c>
      <c r="F29" s="24">
        <f>331.5+6.1</f>
        <v>337.6</v>
      </c>
      <c r="G29" s="24">
        <f>350.9+6.3</f>
        <v>357.2</v>
      </c>
      <c r="H29" s="35">
        <f>361.9+6.4</f>
        <v>368.29999999999995</v>
      </c>
      <c r="I29" s="24">
        <f>349.1+6.4</f>
        <v>355.5</v>
      </c>
      <c r="J29" s="24">
        <f>349.3+6</f>
        <v>355.3</v>
      </c>
      <c r="K29" s="24">
        <f>361+5.2</f>
        <v>366.2</v>
      </c>
      <c r="L29" s="24">
        <f>352.2+6.4</f>
        <v>358.59999999999997</v>
      </c>
      <c r="M29" s="24">
        <f>368.8+6.9</f>
        <v>375.7</v>
      </c>
      <c r="N29" s="24">
        <f>355+5.9</f>
        <v>360.9</v>
      </c>
      <c r="O29" s="26">
        <f>366.3+6.5</f>
        <v>372.8</v>
      </c>
      <c r="R29" s="233"/>
      <c r="T29" s="233"/>
    </row>
    <row r="30" spans="2:20" ht="15" customHeight="1">
      <c r="B30" s="403">
        <v>2004</v>
      </c>
      <c r="C30" s="137">
        <f t="shared" si="1"/>
        <v>4595.2</v>
      </c>
      <c r="D30" s="138">
        <f>371.5+7</f>
        <v>378.5</v>
      </c>
      <c r="E30" s="138">
        <f>340.8+7.9</f>
        <v>348.7</v>
      </c>
      <c r="F30" s="138">
        <f>385+8.9</f>
        <v>393.9</v>
      </c>
      <c r="G30" s="138">
        <f>383.9+8.7</f>
        <v>392.59999999999997</v>
      </c>
      <c r="H30" s="139">
        <f>392.5+8.4</f>
        <v>400.9</v>
      </c>
      <c r="I30" s="138">
        <f>369.9+7.9</f>
        <v>377.79999999999995</v>
      </c>
      <c r="J30" s="138">
        <f>378+8.2</f>
        <v>386.2</v>
      </c>
      <c r="K30" s="138">
        <f>377.3+8.2</f>
        <v>385.5</v>
      </c>
      <c r="L30" s="138">
        <f>373.2+8</f>
        <v>381.2</v>
      </c>
      <c r="M30" s="138">
        <f>382+8.9</f>
        <v>390.9</v>
      </c>
      <c r="N30" s="138">
        <f>361.3+8.1</f>
        <v>369.40000000000003</v>
      </c>
      <c r="O30" s="140">
        <f>380.6+9</f>
        <v>389.6</v>
      </c>
      <c r="R30" s="233"/>
      <c r="T30" s="233"/>
    </row>
    <row r="31" spans="2:20" ht="15" customHeight="1">
      <c r="B31" s="402">
        <v>2005</v>
      </c>
      <c r="C31" s="41">
        <f t="shared" ref="C31:C47" si="2">SUM(D31:O31)</f>
        <v>4780.8</v>
      </c>
      <c r="D31" s="24">
        <f>385.6+9</f>
        <v>394.6</v>
      </c>
      <c r="E31" s="24">
        <f>348+8.3</f>
        <v>356.3</v>
      </c>
      <c r="F31" s="24">
        <f>392.8+9.9+0.1</f>
        <v>402.8</v>
      </c>
      <c r="G31" s="24">
        <f>402.5+9.6</f>
        <v>412.1</v>
      </c>
      <c r="H31" s="35">
        <f>402.6+10.5</f>
        <v>413.1</v>
      </c>
      <c r="I31" s="24">
        <f>390.4+8.1</f>
        <v>398.5</v>
      </c>
      <c r="J31" s="24">
        <f>398.7+8.9</f>
        <v>407.59999999999997</v>
      </c>
      <c r="K31" s="24">
        <f>403.5+6.6</f>
        <v>410.1</v>
      </c>
      <c r="L31" s="24">
        <f>400.7+4.3</f>
        <v>405</v>
      </c>
      <c r="M31" s="24">
        <f>394.6+3.8</f>
        <v>398.40000000000003</v>
      </c>
      <c r="N31" s="24">
        <f>372.1+3.7</f>
        <v>375.8</v>
      </c>
      <c r="O31" s="26">
        <f>402.3+4.2</f>
        <v>406.5</v>
      </c>
      <c r="R31" s="233"/>
      <c r="T31" s="233"/>
    </row>
    <row r="32" spans="2:20" ht="15" customHeight="1">
      <c r="B32" s="403">
        <v>2006</v>
      </c>
      <c r="C32" s="137">
        <f t="shared" si="2"/>
        <v>4934</v>
      </c>
      <c r="D32" s="138">
        <f>393.3+4.4</f>
        <v>397.7</v>
      </c>
      <c r="E32" s="138">
        <f>351+4.5</f>
        <v>355.5</v>
      </c>
      <c r="F32" s="138">
        <f>421.1+3.8</f>
        <v>424.90000000000003</v>
      </c>
      <c r="G32" s="138">
        <f>395.5+3.6</f>
        <v>399.1</v>
      </c>
      <c r="H32" s="139">
        <f>418.3+4.1</f>
        <v>422.40000000000003</v>
      </c>
      <c r="I32" s="138">
        <f>399.9+3.7</f>
        <v>403.59999999999997</v>
      </c>
      <c r="J32" s="138">
        <f>420+4.1</f>
        <v>424.1</v>
      </c>
      <c r="K32" s="138">
        <f>422.1+4.3</f>
        <v>426.40000000000003</v>
      </c>
      <c r="L32" s="138">
        <f>415.1+4.4</f>
        <v>419.5</v>
      </c>
      <c r="M32" s="138">
        <f>431.7+4.2</f>
        <v>435.9</v>
      </c>
      <c r="N32" s="138">
        <f>397+3.7</f>
        <v>400.7</v>
      </c>
      <c r="O32" s="140">
        <f>420.1+4.1</f>
        <v>424.20000000000005</v>
      </c>
      <c r="R32" s="233"/>
      <c r="T32" s="233"/>
    </row>
    <row r="33" spans="2:20" ht="15" customHeight="1">
      <c r="B33" s="402">
        <v>2007</v>
      </c>
      <c r="C33" s="41">
        <f t="shared" si="2"/>
        <v>5298.0138979999992</v>
      </c>
      <c r="D33" s="24">
        <v>435.96543599999995</v>
      </c>
      <c r="E33" s="24">
        <v>400.19739200000004</v>
      </c>
      <c r="F33" s="24">
        <v>452.68248399999999</v>
      </c>
      <c r="G33" s="24">
        <v>441.274652</v>
      </c>
      <c r="H33" s="35">
        <v>453.43266499999993</v>
      </c>
      <c r="I33" s="24">
        <v>439.77884599999993</v>
      </c>
      <c r="J33" s="24">
        <v>450.54333800000001</v>
      </c>
      <c r="K33" s="24">
        <v>447.9</v>
      </c>
      <c r="L33" s="24">
        <v>436.24735300000003</v>
      </c>
      <c r="M33" s="24">
        <v>461.17803099999998</v>
      </c>
      <c r="N33" s="24">
        <v>426.25336499999997</v>
      </c>
      <c r="O33" s="26">
        <v>452.56033600000001</v>
      </c>
      <c r="R33" s="233"/>
      <c r="T33" s="233"/>
    </row>
    <row r="34" spans="2:20" ht="15" customHeight="1">
      <c r="B34" s="403">
        <v>2008</v>
      </c>
      <c r="C34" s="137">
        <f t="shared" si="2"/>
        <v>5462.2</v>
      </c>
      <c r="D34" s="138">
        <v>448.9</v>
      </c>
      <c r="E34" s="138">
        <v>418.9</v>
      </c>
      <c r="F34" s="138">
        <v>459.5</v>
      </c>
      <c r="G34" s="138">
        <v>472.2</v>
      </c>
      <c r="H34" s="139">
        <v>477.6</v>
      </c>
      <c r="I34" s="138">
        <v>441.3</v>
      </c>
      <c r="J34" s="138">
        <v>459</v>
      </c>
      <c r="K34" s="138">
        <v>455</v>
      </c>
      <c r="L34" s="138">
        <v>458</v>
      </c>
      <c r="M34" s="138">
        <v>474.4</v>
      </c>
      <c r="N34" s="138">
        <v>435.4</v>
      </c>
      <c r="O34" s="140">
        <v>462</v>
      </c>
      <c r="R34" s="233"/>
      <c r="T34" s="233"/>
    </row>
    <row r="35" spans="2:20" ht="15" customHeight="1">
      <c r="B35" s="402">
        <v>2009</v>
      </c>
      <c r="C35" s="41">
        <f t="shared" si="2"/>
        <v>5737.9000000000005</v>
      </c>
      <c r="D35" s="24">
        <v>454.7</v>
      </c>
      <c r="E35" s="24">
        <v>412.8</v>
      </c>
      <c r="F35" s="24">
        <v>477.3</v>
      </c>
      <c r="G35" s="24">
        <v>473</v>
      </c>
      <c r="H35" s="35">
        <v>493</v>
      </c>
      <c r="I35" s="24">
        <v>474.3</v>
      </c>
      <c r="J35" s="24">
        <v>486.9</v>
      </c>
      <c r="K35" s="24">
        <v>491.5</v>
      </c>
      <c r="L35" s="24">
        <v>486.2</v>
      </c>
      <c r="M35" s="24">
        <v>505</v>
      </c>
      <c r="N35" s="24">
        <v>469.9</v>
      </c>
      <c r="O35" s="26">
        <v>513.29999999999995</v>
      </c>
      <c r="R35" s="233"/>
      <c r="T35" s="233"/>
    </row>
    <row r="36" spans="2:20" ht="15" customHeight="1">
      <c r="B36" s="402">
        <v>2010</v>
      </c>
      <c r="C36" s="41">
        <f>SUM(D36:O36)</f>
        <v>6232.4798599999995</v>
      </c>
      <c r="D36" s="24">
        <v>509.50521999999995</v>
      </c>
      <c r="E36" s="24">
        <v>472.80358000000001</v>
      </c>
      <c r="F36" s="24">
        <v>532.66661999999997</v>
      </c>
      <c r="G36" s="24">
        <v>529.76096999999993</v>
      </c>
      <c r="H36" s="35">
        <v>554.19889000000001</v>
      </c>
      <c r="I36" s="24">
        <v>534.32407999999998</v>
      </c>
      <c r="J36" s="24">
        <v>529.63493000000005</v>
      </c>
      <c r="K36" s="24">
        <v>526.42754000000002</v>
      </c>
      <c r="L36" s="24">
        <v>515.06533999999999</v>
      </c>
      <c r="M36" s="24">
        <v>528.21984999999995</v>
      </c>
      <c r="N36" s="24">
        <v>492.62195000000003</v>
      </c>
      <c r="O36" s="26">
        <v>507.25089000000003</v>
      </c>
      <c r="R36" s="233"/>
      <c r="T36" s="233"/>
    </row>
    <row r="37" spans="2:20" ht="15" customHeight="1">
      <c r="B37" s="402">
        <v>2011</v>
      </c>
      <c r="C37" s="41">
        <f>SUM(D37:O37)</f>
        <v>6599.8422200000005</v>
      </c>
      <c r="D37" s="24">
        <v>507.99384000000003</v>
      </c>
      <c r="E37" s="24">
        <v>500.3734</v>
      </c>
      <c r="F37" s="24">
        <v>549.93270999999993</v>
      </c>
      <c r="G37" s="24">
        <v>547.90179000000001</v>
      </c>
      <c r="H37" s="35">
        <v>575.77108999999996</v>
      </c>
      <c r="I37" s="24">
        <v>556.39339000000007</v>
      </c>
      <c r="J37" s="24">
        <v>564.24566000000004</v>
      </c>
      <c r="K37" s="24">
        <v>573.51373000000001</v>
      </c>
      <c r="L37" s="24">
        <v>562.65697</v>
      </c>
      <c r="M37" s="24">
        <v>572.40115000000003</v>
      </c>
      <c r="N37" s="24">
        <v>522.74189000000001</v>
      </c>
      <c r="O37" s="26">
        <v>565.91660000000002</v>
      </c>
      <c r="R37" s="233"/>
      <c r="T37" s="233"/>
    </row>
    <row r="38" spans="2:20" ht="15" customHeight="1">
      <c r="B38" s="402">
        <v>2012</v>
      </c>
      <c r="C38" s="41">
        <f>SUM(D38:O38)</f>
        <v>7170.314049999999</v>
      </c>
      <c r="D38" s="24">
        <v>573.15048999999999</v>
      </c>
      <c r="E38" s="24">
        <v>541.88927999999999</v>
      </c>
      <c r="F38" s="24">
        <v>607.93147999999997</v>
      </c>
      <c r="G38" s="24">
        <v>592.97715000000005</v>
      </c>
      <c r="H38" s="35">
        <v>615.39810999999997</v>
      </c>
      <c r="I38" s="24">
        <v>611.09718000000009</v>
      </c>
      <c r="J38" s="24">
        <v>617.50522000000001</v>
      </c>
      <c r="K38" s="24">
        <v>619.30556000000001</v>
      </c>
      <c r="L38" s="24">
        <v>586.25368000000003</v>
      </c>
      <c r="M38" s="24">
        <v>612.64753000000007</v>
      </c>
      <c r="N38" s="24">
        <v>583.68333999999993</v>
      </c>
      <c r="O38" s="26">
        <v>608.47503000000006</v>
      </c>
      <c r="R38" s="233"/>
      <c r="T38" s="233"/>
    </row>
    <row r="39" spans="2:20" ht="15" customHeight="1">
      <c r="B39" s="403">
        <v>2013</v>
      </c>
      <c r="C39" s="137">
        <f>SUM(D39:O39)</f>
        <v>7501.6926700000004</v>
      </c>
      <c r="D39" s="138">
        <v>620.05352000000005</v>
      </c>
      <c r="E39" s="138">
        <v>570.10892000000001</v>
      </c>
      <c r="F39" s="138">
        <v>629.07239000000004</v>
      </c>
      <c r="G39" s="138">
        <v>657.70643999999993</v>
      </c>
      <c r="H39" s="139">
        <v>641.06732</v>
      </c>
      <c r="I39" s="138">
        <v>596.21114</v>
      </c>
      <c r="J39" s="138">
        <v>628.26737000000003</v>
      </c>
      <c r="K39" s="138">
        <v>647.94449999999995</v>
      </c>
      <c r="L39" s="138">
        <v>614.52738999999997</v>
      </c>
      <c r="M39" s="138">
        <v>636.47776999999996</v>
      </c>
      <c r="N39" s="138">
        <v>608.47021999999993</v>
      </c>
      <c r="O39" s="140">
        <v>651.78568999999993</v>
      </c>
      <c r="R39" s="233"/>
      <c r="T39" s="233"/>
    </row>
    <row r="40" spans="2:20" ht="15" customHeight="1">
      <c r="B40" s="402">
        <v>2014</v>
      </c>
      <c r="C40" s="41">
        <f>SUM(D40:O40)</f>
        <v>7822.5404200000003</v>
      </c>
      <c r="D40" s="24">
        <v>636.00899000000004</v>
      </c>
      <c r="E40" s="24">
        <v>609.01670999999999</v>
      </c>
      <c r="F40" s="24">
        <v>659.40827000000002</v>
      </c>
      <c r="G40" s="24">
        <v>652.30246</v>
      </c>
      <c r="H40" s="35">
        <v>645.51043000000004</v>
      </c>
      <c r="I40" s="24">
        <v>640.17615999999998</v>
      </c>
      <c r="J40" s="24">
        <v>683.41750000000002</v>
      </c>
      <c r="K40" s="24">
        <v>681.44848000000002</v>
      </c>
      <c r="L40" s="24">
        <v>650.24675999999999</v>
      </c>
      <c r="M40" s="24">
        <v>674.26065000000006</v>
      </c>
      <c r="N40" s="24">
        <v>630.35807</v>
      </c>
      <c r="O40" s="26">
        <v>660.38593999999989</v>
      </c>
      <c r="R40" s="233"/>
      <c r="T40" s="233"/>
    </row>
    <row r="41" spans="2:20" ht="15" customHeight="1">
      <c r="B41" s="402">
        <v>2015</v>
      </c>
      <c r="C41" s="41">
        <f t="shared" ref="C41" si="3">SUM(D41:O41)</f>
        <v>8368.6373300000014</v>
      </c>
      <c r="D41" s="24">
        <v>674.16341</v>
      </c>
      <c r="E41" s="24">
        <v>625.40204000000006</v>
      </c>
      <c r="F41" s="24">
        <v>693.00255000000004</v>
      </c>
      <c r="G41" s="24">
        <v>696.22434999999996</v>
      </c>
      <c r="H41" s="35">
        <v>725.64215000000002</v>
      </c>
      <c r="I41" s="24">
        <v>700.15549999999996</v>
      </c>
      <c r="J41" s="24">
        <v>725.74757999999997</v>
      </c>
      <c r="K41" s="24">
        <v>725.95812000000001</v>
      </c>
      <c r="L41" s="24">
        <v>682.35238000000004</v>
      </c>
      <c r="M41" s="24">
        <v>728.44965999999999</v>
      </c>
      <c r="N41" s="24">
        <v>662.30556999999999</v>
      </c>
      <c r="O41" s="26">
        <v>729.23401999999999</v>
      </c>
      <c r="R41" s="233"/>
      <c r="T41" s="233"/>
    </row>
    <row r="42" spans="2:20" ht="15" customHeight="1">
      <c r="B42" s="402">
        <v>2016</v>
      </c>
      <c r="C42" s="41">
        <f t="shared" ref="C42" si="4">SUM(D42:O42)</f>
        <v>8588.5</v>
      </c>
      <c r="D42" s="24">
        <v>720.1</v>
      </c>
      <c r="E42" s="24">
        <v>679.5</v>
      </c>
      <c r="F42" s="24">
        <v>721</v>
      </c>
      <c r="G42" s="24">
        <v>751.4</v>
      </c>
      <c r="H42" s="35">
        <v>751.1</v>
      </c>
      <c r="I42" s="24">
        <v>712.6</v>
      </c>
      <c r="J42" s="24">
        <v>715.9</v>
      </c>
      <c r="K42" s="24">
        <v>734.2</v>
      </c>
      <c r="L42" s="24">
        <v>704.8</v>
      </c>
      <c r="M42" s="24">
        <v>718.7</v>
      </c>
      <c r="N42" s="24">
        <v>673.6</v>
      </c>
      <c r="O42" s="26">
        <v>705.6</v>
      </c>
      <c r="R42" s="233"/>
      <c r="T42" s="233"/>
    </row>
    <row r="43" spans="2:20" ht="15" customHeight="1">
      <c r="B43" s="402">
        <v>2017</v>
      </c>
      <c r="C43" s="41">
        <f t="shared" ref="C43" si="5">SUM(D43:O43)</f>
        <v>8896.9926879319992</v>
      </c>
      <c r="D43" s="24">
        <v>700.04783199999997</v>
      </c>
      <c r="E43" s="24">
        <v>669.83952700000009</v>
      </c>
      <c r="F43" s="24">
        <v>753.51187899999991</v>
      </c>
      <c r="G43" s="24">
        <v>753.80550199999982</v>
      </c>
      <c r="H43" s="35">
        <v>770.94273200000009</v>
      </c>
      <c r="I43" s="24">
        <v>772.32670800000005</v>
      </c>
      <c r="J43" s="24">
        <v>741.68823999999995</v>
      </c>
      <c r="K43" s="24">
        <v>766.03771800000015</v>
      </c>
      <c r="L43" s="24">
        <v>747.79180799999995</v>
      </c>
      <c r="M43" s="24">
        <v>765.74852300000009</v>
      </c>
      <c r="N43" s="24">
        <v>718.10562499999992</v>
      </c>
      <c r="O43" s="26">
        <v>737.14659393199997</v>
      </c>
      <c r="R43" s="233"/>
      <c r="T43" s="233"/>
    </row>
    <row r="44" spans="2:20" ht="15" customHeight="1">
      <c r="B44" s="403">
        <v>2018</v>
      </c>
      <c r="C44" s="137">
        <f t="shared" ref="C44" si="6">SUM(D44:O44)</f>
        <v>9098.9000000000015</v>
      </c>
      <c r="D44" s="138">
        <v>734.2</v>
      </c>
      <c r="E44" s="138">
        <v>709.7</v>
      </c>
      <c r="F44" s="138">
        <v>742.4</v>
      </c>
      <c r="G44" s="138">
        <v>757.7</v>
      </c>
      <c r="H44" s="139">
        <v>781.1</v>
      </c>
      <c r="I44" s="138">
        <v>758.8</v>
      </c>
      <c r="J44" s="138">
        <v>767.5</v>
      </c>
      <c r="K44" s="138">
        <v>775.1</v>
      </c>
      <c r="L44" s="138">
        <v>762.6</v>
      </c>
      <c r="M44" s="138">
        <v>761.1</v>
      </c>
      <c r="N44" s="138">
        <v>759.2</v>
      </c>
      <c r="O44" s="140">
        <v>789.5</v>
      </c>
      <c r="R44" s="233"/>
      <c r="T44" s="233"/>
    </row>
    <row r="45" spans="2:20" ht="15" customHeight="1">
      <c r="B45" s="402">
        <v>2019</v>
      </c>
      <c r="C45" s="41">
        <f t="shared" ref="C45" si="7">SUM(D45:O45)</f>
        <v>9623.979991799999</v>
      </c>
      <c r="D45" s="24">
        <v>767.45121699999993</v>
      </c>
      <c r="E45" s="24">
        <v>727.81477899999982</v>
      </c>
      <c r="F45" s="24">
        <v>809.34935499999995</v>
      </c>
      <c r="G45" s="24">
        <v>793.68260599999985</v>
      </c>
      <c r="H45" s="35">
        <v>844.54421899999988</v>
      </c>
      <c r="I45" s="24">
        <v>805.14780200000007</v>
      </c>
      <c r="J45" s="24">
        <v>846.9638809999999</v>
      </c>
      <c r="K45" s="24">
        <v>838.63188680000007</v>
      </c>
      <c r="L45" s="24">
        <v>799.91018900000006</v>
      </c>
      <c r="M45" s="24">
        <v>813.30011499999989</v>
      </c>
      <c r="N45" s="24">
        <v>769.09819200000004</v>
      </c>
      <c r="O45" s="26">
        <v>808.08574999999985</v>
      </c>
      <c r="R45" s="233"/>
      <c r="T45" s="233"/>
    </row>
    <row r="46" spans="2:20" ht="15" customHeight="1">
      <c r="B46" s="403">
        <v>2020</v>
      </c>
      <c r="C46" s="137">
        <f t="shared" ref="C46" si="8">SUM(D46:O46)</f>
        <v>8926.6808435400017</v>
      </c>
      <c r="D46" s="138">
        <v>835.62809200000015</v>
      </c>
      <c r="E46" s="138">
        <v>798.19377699999995</v>
      </c>
      <c r="F46" s="138">
        <v>777.68216799999993</v>
      </c>
      <c r="G46" s="138">
        <v>731.14731400000005</v>
      </c>
      <c r="H46" s="139">
        <v>702.74166053999988</v>
      </c>
      <c r="I46" s="138">
        <v>698.44181400000002</v>
      </c>
      <c r="J46" s="138">
        <v>694.51721599999996</v>
      </c>
      <c r="K46" s="138">
        <v>724.82075300000008</v>
      </c>
      <c r="L46" s="138">
        <v>712.39068099999986</v>
      </c>
      <c r="M46" s="138">
        <v>740.53487299999995</v>
      </c>
      <c r="N46" s="138">
        <v>740.91452900000013</v>
      </c>
      <c r="O46" s="140">
        <v>769.66796599999998</v>
      </c>
      <c r="R46" s="233"/>
      <c r="T46" s="233"/>
    </row>
    <row r="47" spans="2:20" ht="15" customHeight="1" thickBot="1">
      <c r="B47" s="705">
        <v>2021</v>
      </c>
      <c r="C47" s="711">
        <f t="shared" si="2"/>
        <v>9689.0074000000004</v>
      </c>
      <c r="D47" s="136">
        <v>746.76803899999982</v>
      </c>
      <c r="E47" s="136">
        <v>723.18948799999998</v>
      </c>
      <c r="F47" s="136">
        <v>800.82823100000007</v>
      </c>
      <c r="G47" s="136">
        <v>826.07802100000004</v>
      </c>
      <c r="H47" s="712">
        <v>834.67565099999979</v>
      </c>
      <c r="I47" s="136">
        <v>822.962852</v>
      </c>
      <c r="J47" s="136">
        <v>826.59905400000014</v>
      </c>
      <c r="K47" s="136">
        <v>829.9352540000001</v>
      </c>
      <c r="L47" s="136">
        <v>815.05437799999993</v>
      </c>
      <c r="M47" s="136">
        <v>828.77761799999985</v>
      </c>
      <c r="N47" s="136">
        <v>805.08740400000011</v>
      </c>
      <c r="O47" s="33">
        <v>829.05141000000015</v>
      </c>
      <c r="R47" s="233"/>
      <c r="T47" s="233"/>
    </row>
    <row r="48" spans="2:20" ht="15" customHeight="1" thickBot="1">
      <c r="B48" s="4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R48" s="233"/>
      <c r="T48" s="233"/>
    </row>
    <row r="49" spans="2:20" ht="24.9" customHeight="1" thickBot="1">
      <c r="B49" s="683" t="s">
        <v>56</v>
      </c>
      <c r="C49" s="684"/>
      <c r="D49" s="684"/>
      <c r="E49" s="684"/>
      <c r="F49" s="684"/>
      <c r="G49" s="684"/>
      <c r="H49" s="684"/>
      <c r="I49" s="684"/>
      <c r="J49" s="684"/>
      <c r="K49" s="684"/>
      <c r="L49" s="684"/>
      <c r="M49" s="684"/>
      <c r="N49" s="684"/>
      <c r="O49" s="685"/>
      <c r="R49" s="233"/>
      <c r="T49" s="233"/>
    </row>
    <row r="50" spans="2:20" ht="15" customHeight="1">
      <c r="B50" s="401" t="s">
        <v>42</v>
      </c>
      <c r="C50" s="27">
        <f>RATE(10,,-C6,C16)*100</f>
        <v>3.3762515232053878</v>
      </c>
      <c r="D50" s="27">
        <f t="shared" ref="D50:O50" si="9">RATE(10,,-D6,D16)*100</f>
        <v>3.6094344370073812</v>
      </c>
      <c r="E50" s="27">
        <f t="shared" si="9"/>
        <v>3.3789816274213811</v>
      </c>
      <c r="F50" s="27">
        <f t="shared" si="9"/>
        <v>3.4224898549231773</v>
      </c>
      <c r="G50" s="27">
        <f t="shared" si="9"/>
        <v>2.8678236769527308</v>
      </c>
      <c r="H50" s="27">
        <f t="shared" si="9"/>
        <v>3.5342381242084087</v>
      </c>
      <c r="I50" s="27">
        <f t="shared" si="9"/>
        <v>3.1854419630214958</v>
      </c>
      <c r="J50" s="27">
        <f t="shared" si="9"/>
        <v>3.569304868633568</v>
      </c>
      <c r="K50" s="27">
        <f t="shared" si="9"/>
        <v>3.0624895740403297</v>
      </c>
      <c r="L50" s="27">
        <f t="shared" si="9"/>
        <v>3.2639778306799454</v>
      </c>
      <c r="M50" s="27">
        <f t="shared" si="9"/>
        <v>3.4138835699670125</v>
      </c>
      <c r="N50" s="27">
        <f t="shared" si="9"/>
        <v>3.1828937828261599</v>
      </c>
      <c r="O50" s="25">
        <f t="shared" si="9"/>
        <v>4.0257551453288638</v>
      </c>
      <c r="P50" s="12"/>
      <c r="T50" s="233"/>
    </row>
    <row r="51" spans="2:20" ht="15" customHeight="1">
      <c r="B51" s="402" t="s">
        <v>36</v>
      </c>
      <c r="C51" s="28">
        <f>RATE(10,,-C16,C26)*100</f>
        <v>6.3533638460753359</v>
      </c>
      <c r="D51" s="28">
        <f t="shared" ref="D51:O51" si="10">RATE(10,,-D16,D26)*100</f>
        <v>6.2648221831948918</v>
      </c>
      <c r="E51" s="28">
        <f t="shared" si="10"/>
        <v>6.5493303583261371</v>
      </c>
      <c r="F51" s="28">
        <f t="shared" si="10"/>
        <v>6.4130575389552869</v>
      </c>
      <c r="G51" s="28">
        <f t="shared" si="10"/>
        <v>5.9449585149454478</v>
      </c>
      <c r="H51" s="28">
        <f t="shared" si="10"/>
        <v>6.8894426159518547</v>
      </c>
      <c r="I51" s="28">
        <f t="shared" si="10"/>
        <v>6.2069746619685988</v>
      </c>
      <c r="J51" s="28">
        <f t="shared" si="10"/>
        <v>6.4001172534652442</v>
      </c>
      <c r="K51" s="28">
        <f t="shared" si="10"/>
        <v>5.7968411983519808</v>
      </c>
      <c r="L51" s="28">
        <f t="shared" si="10"/>
        <v>7.1428381365641433</v>
      </c>
      <c r="M51" s="28">
        <f t="shared" si="10"/>
        <v>7.1179180203500652</v>
      </c>
      <c r="N51" s="28">
        <f t="shared" si="10"/>
        <v>6.0584350082283569</v>
      </c>
      <c r="O51" s="26">
        <f t="shared" si="10"/>
        <v>5.3487821726171871</v>
      </c>
      <c r="P51" s="12"/>
    </row>
    <row r="52" spans="2:20" ht="15" customHeight="1">
      <c r="B52" s="402" t="s">
        <v>284</v>
      </c>
      <c r="C52" s="465">
        <f>RATE(10,,-C26,C36)*100</f>
        <v>5.0691354803389714</v>
      </c>
      <c r="D52" s="24">
        <f t="shared" ref="D52:O52" si="11">RATE(10,,-D26,D36)*100</f>
        <v>5.4182897455782735</v>
      </c>
      <c r="E52" s="24">
        <f t="shared" si="11"/>
        <v>4.7100082357857787</v>
      </c>
      <c r="F52" s="24">
        <f t="shared" si="11"/>
        <v>5.5352266568152553</v>
      </c>
      <c r="G52" s="24">
        <f t="shared" si="11"/>
        <v>5.9540911802056025</v>
      </c>
      <c r="H52" s="24">
        <f t="shared" si="11"/>
        <v>5.1251901241494915</v>
      </c>
      <c r="I52" s="24">
        <f t="shared" si="11"/>
        <v>5.4902126772661948</v>
      </c>
      <c r="J52" s="24">
        <f t="shared" si="11"/>
        <v>4.9597160071636379</v>
      </c>
      <c r="K52" s="24">
        <f t="shared" si="11"/>
        <v>5.7316789268669543</v>
      </c>
      <c r="L52" s="24">
        <f t="shared" si="11"/>
        <v>4.1524484884712098</v>
      </c>
      <c r="M52" s="24">
        <f t="shared" si="11"/>
        <v>4.0246999918937023</v>
      </c>
      <c r="N52" s="24">
        <f t="shared" si="11"/>
        <v>4.7406359629154435</v>
      </c>
      <c r="O52" s="26">
        <f t="shared" si="11"/>
        <v>5.1121966032071242</v>
      </c>
      <c r="P52" s="12"/>
    </row>
    <row r="53" spans="2:20" ht="15" customHeight="1" thickBot="1">
      <c r="B53" s="464" t="s">
        <v>352</v>
      </c>
      <c r="C53" s="559">
        <f>RATE(11,,-C36,C47)*100</f>
        <v>4.0925996448366124</v>
      </c>
      <c r="D53" s="136">
        <f t="shared" ref="D53:O53" si="12">RATE(11,,-D36,D47)*100</f>
        <v>3.5366908692643833</v>
      </c>
      <c r="E53" s="136">
        <f t="shared" si="12"/>
        <v>3.9391625879512495</v>
      </c>
      <c r="F53" s="136">
        <f t="shared" si="12"/>
        <v>3.7763843995114983</v>
      </c>
      <c r="G53" s="136">
        <f t="shared" si="12"/>
        <v>4.1214244200079104</v>
      </c>
      <c r="H53" s="136">
        <f t="shared" si="12"/>
        <v>3.7930734283111716</v>
      </c>
      <c r="I53" s="136">
        <f t="shared" si="12"/>
        <v>4.0045446289766593</v>
      </c>
      <c r="J53" s="136">
        <f t="shared" si="12"/>
        <v>4.1296454062767598</v>
      </c>
      <c r="K53" s="136">
        <f t="shared" si="12"/>
        <v>4.2253200534961319</v>
      </c>
      <c r="L53" s="136">
        <f t="shared" si="12"/>
        <v>4.2606401509247407</v>
      </c>
      <c r="M53" s="136">
        <f t="shared" si="12"/>
        <v>4.179899954998449</v>
      </c>
      <c r="N53" s="136">
        <f t="shared" si="12"/>
        <v>4.5667404128427425</v>
      </c>
      <c r="O53" s="33">
        <f t="shared" si="12"/>
        <v>4.567383316581024</v>
      </c>
      <c r="P53" s="12"/>
    </row>
    <row r="54" spans="2:20" ht="15" customHeight="1" thickBot="1">
      <c r="B54" s="5"/>
      <c r="C54" s="12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2:20" ht="24.9" customHeight="1" thickBot="1">
      <c r="B55" s="686" t="s">
        <v>43</v>
      </c>
      <c r="C55" s="687"/>
      <c r="D55" s="687"/>
      <c r="E55" s="687"/>
      <c r="F55" s="687"/>
      <c r="G55" s="687"/>
      <c r="H55" s="687"/>
      <c r="I55" s="687"/>
      <c r="J55" s="687"/>
      <c r="K55" s="687"/>
      <c r="L55" s="687"/>
      <c r="M55" s="687"/>
      <c r="N55" s="687"/>
      <c r="O55" s="688"/>
    </row>
    <row r="56" spans="2:20" ht="15" customHeight="1">
      <c r="B56" s="382">
        <v>1980</v>
      </c>
      <c r="C56" s="42">
        <v>100</v>
      </c>
      <c r="D56" s="43">
        <f>100*D6/$C$6</f>
        <v>7.7967132714259915</v>
      </c>
      <c r="E56" s="43">
        <f t="shared" ref="E56:O56" si="13">100*E6/$C$6</f>
        <v>7.705128605509743</v>
      </c>
      <c r="F56" s="43">
        <f t="shared" si="13"/>
        <v>8.0945501353063296</v>
      </c>
      <c r="G56" s="43">
        <f t="shared" si="13"/>
        <v>8.5332603733721477</v>
      </c>
      <c r="H56" s="43">
        <f t="shared" si="13"/>
        <v>8.2836259652372028</v>
      </c>
      <c r="I56" s="43">
        <f t="shared" si="13"/>
        <v>8.5070545312345107</v>
      </c>
      <c r="J56" s="43">
        <f t="shared" si="13"/>
        <v>8.3913007466628269</v>
      </c>
      <c r="K56" s="43">
        <f t="shared" si="13"/>
        <v>8.6171733808387767</v>
      </c>
      <c r="L56" s="43">
        <f t="shared" si="13"/>
        <v>8.4695109283792966</v>
      </c>
      <c r="M56" s="43">
        <f t="shared" si="13"/>
        <v>8.686625651581787</v>
      </c>
      <c r="N56" s="43">
        <f t="shared" si="13"/>
        <v>8.5436476631313667</v>
      </c>
      <c r="O56" s="44">
        <f t="shared" si="13"/>
        <v>8.3714087473200109</v>
      </c>
    </row>
    <row r="57" spans="2:20" ht="15" customHeight="1">
      <c r="B57" s="404">
        <v>1990</v>
      </c>
      <c r="C57" s="45">
        <v>100</v>
      </c>
      <c r="D57" s="46">
        <f>100*D16/$C$16</f>
        <v>7.974377483514675</v>
      </c>
      <c r="E57" s="46">
        <f t="shared" ref="E57:O57" si="14">100*E16/$C$16</f>
        <v>7.7071637251721583</v>
      </c>
      <c r="F57" s="46">
        <f t="shared" si="14"/>
        <v>8.1308285574840795</v>
      </c>
      <c r="G57" s="46">
        <f t="shared" si="14"/>
        <v>8.1227429789414511</v>
      </c>
      <c r="H57" s="46">
        <f t="shared" si="14"/>
        <v>8.411096141425535</v>
      </c>
      <c r="I57" s="46">
        <f t="shared" si="14"/>
        <v>8.3513310518363504</v>
      </c>
      <c r="J57" s="46">
        <f t="shared" si="14"/>
        <v>8.5493303095217907</v>
      </c>
      <c r="K57" s="46">
        <f t="shared" si="14"/>
        <v>8.3591730888566111</v>
      </c>
      <c r="L57" s="46">
        <f t="shared" si="14"/>
        <v>8.3779744943834444</v>
      </c>
      <c r="M57" s="46">
        <f t="shared" si="14"/>
        <v>8.7182994177409281</v>
      </c>
      <c r="N57" s="46">
        <f t="shared" si="14"/>
        <v>8.3851833234455491</v>
      </c>
      <c r="O57" s="47">
        <f t="shared" si="14"/>
        <v>8.9124994276774228</v>
      </c>
    </row>
    <row r="58" spans="2:20" ht="15" customHeight="1">
      <c r="B58" s="404">
        <v>2000</v>
      </c>
      <c r="C58" s="45">
        <v>100</v>
      </c>
      <c r="D58" s="46">
        <f>100*D26/$C$26</f>
        <v>7.9082370892636344</v>
      </c>
      <c r="E58" s="46">
        <f t="shared" ref="E58:O58" si="15">100*E26/$C$26</f>
        <v>7.8503591065744125</v>
      </c>
      <c r="F58" s="46">
        <f t="shared" si="15"/>
        <v>8.1765804635500245</v>
      </c>
      <c r="G58" s="46">
        <f t="shared" si="15"/>
        <v>7.8161584804398725</v>
      </c>
      <c r="H58" s="46">
        <f t="shared" si="15"/>
        <v>8.8448080818710384</v>
      </c>
      <c r="I58" s="46">
        <f t="shared" si="15"/>
        <v>8.2370892636342106</v>
      </c>
      <c r="J58" s="46">
        <f t="shared" si="15"/>
        <v>8.5869879771645046</v>
      </c>
      <c r="K58" s="46">
        <f t="shared" si="15"/>
        <v>7.9319144458183146</v>
      </c>
      <c r="L58" s="46">
        <f t="shared" si="15"/>
        <v>9.0210728473336665</v>
      </c>
      <c r="M58" s="46">
        <f t="shared" si="15"/>
        <v>9.3657099260740306</v>
      </c>
      <c r="N58" s="46">
        <f t="shared" si="15"/>
        <v>8.1555339243903049</v>
      </c>
      <c r="O58" s="47">
        <f t="shared" si="15"/>
        <v>8.1055483938859787</v>
      </c>
    </row>
    <row r="59" spans="2:20" ht="15" customHeight="1">
      <c r="B59" s="466">
        <v>2010</v>
      </c>
      <c r="C59" s="467">
        <v>100</v>
      </c>
      <c r="D59" s="46">
        <f>100*D36/$C$36</f>
        <v>8.1749998627352163</v>
      </c>
      <c r="E59" s="46">
        <f t="shared" ref="E59:O59" si="16">100*E36/$C$36</f>
        <v>7.5861228695570952</v>
      </c>
      <c r="F59" s="46">
        <f t="shared" si="16"/>
        <v>8.5466240078632207</v>
      </c>
      <c r="G59" s="46">
        <f t="shared" si="16"/>
        <v>8.5000029185814334</v>
      </c>
      <c r="H59" s="46">
        <f t="shared" si="16"/>
        <v>8.8921087985673832</v>
      </c>
      <c r="I59" s="46">
        <f t="shared" si="16"/>
        <v>8.5732179165036246</v>
      </c>
      <c r="J59" s="46">
        <f t="shared" si="16"/>
        <v>8.4979806095995958</v>
      </c>
      <c r="K59" s="46">
        <f t="shared" si="16"/>
        <v>8.4465181087644954</v>
      </c>
      <c r="L59" s="46">
        <f t="shared" si="16"/>
        <v>8.2642118638149924</v>
      </c>
      <c r="M59" s="46">
        <f t="shared" si="16"/>
        <v>8.4752756826397508</v>
      </c>
      <c r="N59" s="46">
        <f t="shared" si="16"/>
        <v>7.9041081730828093</v>
      </c>
      <c r="O59" s="47">
        <f t="shared" si="16"/>
        <v>8.1388291882903907</v>
      </c>
    </row>
    <row r="60" spans="2:20" ht="15" customHeight="1" thickBot="1">
      <c r="B60" s="405">
        <v>2021</v>
      </c>
      <c r="C60" s="48">
        <v>100</v>
      </c>
      <c r="D60" s="49">
        <f>100*D47/$C$47</f>
        <v>7.7073740185191708</v>
      </c>
      <c r="E60" s="49">
        <f t="shared" ref="E60:N60" si="17">100*E47/$C$47</f>
        <v>7.46402039077811</v>
      </c>
      <c r="F60" s="49">
        <f t="shared" si="17"/>
        <v>8.2653278910696262</v>
      </c>
      <c r="G60" s="49">
        <f t="shared" si="17"/>
        <v>8.5259303342053379</v>
      </c>
      <c r="H60" s="49">
        <f t="shared" si="17"/>
        <v>8.6146662556992144</v>
      </c>
      <c r="I60" s="49">
        <f t="shared" si="17"/>
        <v>8.4937787538484066</v>
      </c>
      <c r="J60" s="49">
        <f t="shared" si="17"/>
        <v>8.5313079026031104</v>
      </c>
      <c r="K60" s="49">
        <f t="shared" si="17"/>
        <v>8.5657407383134014</v>
      </c>
      <c r="L60" s="49">
        <f t="shared" si="17"/>
        <v>8.4121555939775625</v>
      </c>
      <c r="M60" s="49">
        <f t="shared" si="17"/>
        <v>8.553792806474684</v>
      </c>
      <c r="N60" s="49">
        <f t="shared" si="17"/>
        <v>8.3092867077385044</v>
      </c>
      <c r="O60" s="50">
        <f>100*O47/$C$47</f>
        <v>8.5566186067728687</v>
      </c>
    </row>
    <row r="61" spans="2:20" ht="15" customHeight="1"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</row>
    <row r="62" spans="2:20" ht="15" customHeight="1"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</row>
    <row r="63" spans="2:20" ht="15" customHeight="1"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</row>
    <row r="64" spans="2:20" ht="15" customHeight="1">
      <c r="C64" s="242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</row>
    <row r="65" spans="3:16" ht="15" customHeight="1">
      <c r="C65" s="242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242"/>
    </row>
    <row r="66" spans="3:16" ht="15" customHeight="1"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484"/>
      <c r="P66" s="242"/>
    </row>
    <row r="67" spans="3:16" ht="15" customHeight="1">
      <c r="C67" s="484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484"/>
    </row>
  </sheetData>
  <mergeCells count="6">
    <mergeCell ref="B49:O49"/>
    <mergeCell ref="B55:O55"/>
    <mergeCell ref="B1:O1"/>
    <mergeCell ref="B2:O2"/>
    <mergeCell ref="B3:O3"/>
    <mergeCell ref="B4:O4"/>
  </mergeCells>
  <phoneticPr fontId="0" type="noConversion"/>
  <printOptions horizontalCentered="1"/>
  <pageMargins left="0.39370078740157483" right="0.39370078740157483" top="0.78740157480314965" bottom="0.39370078740157483" header="0" footer="0"/>
  <pageSetup scale="6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4"/>
    <pageSetUpPr fitToPage="1"/>
  </sheetPr>
  <dimension ref="B1:Q131"/>
  <sheetViews>
    <sheetView workbookViewId="0">
      <selection activeCell="K62" sqref="K62"/>
    </sheetView>
  </sheetViews>
  <sheetFormatPr baseColWidth="10" defaultColWidth="12.5546875" defaultRowHeight="15" customHeight="1"/>
  <cols>
    <col min="1" max="1" width="2.6640625" style="10" customWidth="1"/>
    <col min="2" max="2" width="15.6640625" style="6" customWidth="1"/>
    <col min="3" max="3" width="15.6640625" style="10" customWidth="1"/>
    <col min="4" max="15" width="12.6640625" style="10" customWidth="1"/>
    <col min="16" max="16384" width="12.5546875" style="10"/>
  </cols>
  <sheetData>
    <row r="1" spans="2:17" ht="15" customHeight="1">
      <c r="B1" s="695" t="s">
        <v>30</v>
      </c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12"/>
    </row>
    <row r="2" spans="2:17" ht="15" customHeight="1">
      <c r="B2" s="695" t="s">
        <v>0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12"/>
    </row>
    <row r="3" spans="2:17" ht="15" customHeight="1">
      <c r="B3" s="695" t="s">
        <v>351</v>
      </c>
      <c r="C3" s="695"/>
      <c r="D3" s="695"/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5"/>
      <c r="P3" s="12"/>
    </row>
    <row r="4" spans="2:17" ht="15" customHeight="1" thickBot="1">
      <c r="B4" s="695" t="s">
        <v>39</v>
      </c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12"/>
    </row>
    <row r="5" spans="2:17" s="11" customFormat="1" ht="24.9" customHeight="1" thickBot="1">
      <c r="B5" s="411" t="s">
        <v>41</v>
      </c>
      <c r="C5" s="412" t="s">
        <v>59</v>
      </c>
      <c r="D5" s="413" t="s">
        <v>44</v>
      </c>
      <c r="E5" s="413" t="s">
        <v>45</v>
      </c>
      <c r="F5" s="413" t="s">
        <v>46</v>
      </c>
      <c r="G5" s="413" t="s">
        <v>47</v>
      </c>
      <c r="H5" s="413" t="s">
        <v>48</v>
      </c>
      <c r="I5" s="413" t="s">
        <v>49</v>
      </c>
      <c r="J5" s="413" t="s">
        <v>50</v>
      </c>
      <c r="K5" s="413" t="s">
        <v>51</v>
      </c>
      <c r="L5" s="413" t="s">
        <v>52</v>
      </c>
      <c r="M5" s="413" t="s">
        <v>53</v>
      </c>
      <c r="N5" s="413" t="s">
        <v>54</v>
      </c>
      <c r="O5" s="414" t="s">
        <v>55</v>
      </c>
      <c r="P5" s="15"/>
    </row>
    <row r="6" spans="2:17" ht="15" customHeight="1">
      <c r="B6" s="401">
        <v>1980</v>
      </c>
      <c r="C6" s="179">
        <f t="shared" ref="C6:C25" si="0">MAX(D6:O6)</f>
        <v>305.48</v>
      </c>
      <c r="D6" s="30">
        <v>275.61</v>
      </c>
      <c r="E6" s="30">
        <v>289.33999999999997</v>
      </c>
      <c r="F6" s="30">
        <v>292.39</v>
      </c>
      <c r="G6" s="55">
        <v>305.48</v>
      </c>
      <c r="H6" s="30">
        <v>287.52999999999997</v>
      </c>
      <c r="I6" s="30">
        <v>287.27999999999997</v>
      </c>
      <c r="J6" s="30">
        <v>286.22000000000003</v>
      </c>
      <c r="K6" s="30">
        <v>294.97000000000003</v>
      </c>
      <c r="L6" s="30">
        <v>292.54000000000002</v>
      </c>
      <c r="M6" s="30">
        <v>294.38</v>
      </c>
      <c r="N6" s="30">
        <v>294.49</v>
      </c>
      <c r="O6" s="31">
        <v>290.33</v>
      </c>
      <c r="P6" s="12"/>
      <c r="Q6" s="470"/>
    </row>
    <row r="7" spans="2:17" ht="15" customHeight="1">
      <c r="B7" s="402">
        <v>1981</v>
      </c>
      <c r="C7" s="180">
        <f t="shared" si="0"/>
        <v>319.89999999999998</v>
      </c>
      <c r="D7" s="18">
        <v>283.41000000000003</v>
      </c>
      <c r="E7" s="18">
        <v>297.39999999999998</v>
      </c>
      <c r="F7" s="18">
        <v>298.38</v>
      </c>
      <c r="G7" s="18">
        <v>307.33</v>
      </c>
      <c r="H7" s="18">
        <v>308.95</v>
      </c>
      <c r="I7" s="18">
        <v>303.52</v>
      </c>
      <c r="J7" s="18">
        <v>300.08</v>
      </c>
      <c r="K7" s="18">
        <v>307.56</v>
      </c>
      <c r="L7" s="18">
        <v>311.66000000000003</v>
      </c>
      <c r="M7" s="18">
        <v>313.18</v>
      </c>
      <c r="N7" s="56">
        <v>319.89999999999998</v>
      </c>
      <c r="O7" s="19">
        <v>315.51</v>
      </c>
      <c r="P7" s="12"/>
    </row>
    <row r="8" spans="2:17" ht="15" customHeight="1">
      <c r="B8" s="402">
        <v>1982</v>
      </c>
      <c r="C8" s="180">
        <f t="shared" si="0"/>
        <v>362.22</v>
      </c>
      <c r="D8" s="18">
        <v>317.83</v>
      </c>
      <c r="E8" s="18">
        <v>331.53</v>
      </c>
      <c r="F8" s="18">
        <v>336.21</v>
      </c>
      <c r="G8" s="18">
        <v>337.39</v>
      </c>
      <c r="H8" s="18">
        <v>338.48</v>
      </c>
      <c r="I8" s="18">
        <v>342.26</v>
      </c>
      <c r="J8" s="18">
        <v>342.57</v>
      </c>
      <c r="K8" s="18">
        <v>339.8</v>
      </c>
      <c r="L8" s="18">
        <v>340.49</v>
      </c>
      <c r="M8" s="18">
        <v>332.68</v>
      </c>
      <c r="N8" s="56">
        <v>362.22</v>
      </c>
      <c r="O8" s="19">
        <v>349.78</v>
      </c>
      <c r="P8" s="12"/>
    </row>
    <row r="9" spans="2:17" ht="15" customHeight="1">
      <c r="B9" s="402">
        <v>1983</v>
      </c>
      <c r="C9" s="180">
        <f t="shared" si="0"/>
        <v>375</v>
      </c>
      <c r="D9" s="18">
        <v>351.46</v>
      </c>
      <c r="E9" s="18">
        <v>361.63</v>
      </c>
      <c r="F9" s="56">
        <v>375</v>
      </c>
      <c r="G9" s="18">
        <v>374.23</v>
      </c>
      <c r="H9" s="18">
        <v>366.87</v>
      </c>
      <c r="I9" s="18">
        <v>366.57</v>
      </c>
      <c r="J9" s="18">
        <v>368.23</v>
      </c>
      <c r="K9" s="18">
        <v>361.2</v>
      </c>
      <c r="L9" s="18">
        <v>341.64</v>
      </c>
      <c r="M9" s="18">
        <v>356.83</v>
      </c>
      <c r="N9" s="18">
        <v>357.97</v>
      </c>
      <c r="O9" s="19">
        <v>356.44</v>
      </c>
      <c r="P9" s="12"/>
    </row>
    <row r="10" spans="2:17" ht="15" customHeight="1">
      <c r="B10" s="402">
        <v>1984</v>
      </c>
      <c r="C10" s="180">
        <f t="shared" si="0"/>
        <v>385.77</v>
      </c>
      <c r="D10" s="18">
        <v>348.41</v>
      </c>
      <c r="E10" s="18">
        <v>348.58</v>
      </c>
      <c r="F10" s="18">
        <v>362.72</v>
      </c>
      <c r="G10" s="18">
        <v>365.31</v>
      </c>
      <c r="H10" s="18">
        <v>369</v>
      </c>
      <c r="I10" s="18">
        <v>371.82</v>
      </c>
      <c r="J10" s="18">
        <v>370.72</v>
      </c>
      <c r="K10" s="18">
        <v>377.14</v>
      </c>
      <c r="L10" s="18">
        <v>372.6</v>
      </c>
      <c r="M10" s="18">
        <v>380.56</v>
      </c>
      <c r="N10" s="18">
        <v>383.45</v>
      </c>
      <c r="O10" s="57">
        <v>385.77</v>
      </c>
      <c r="P10" s="12"/>
    </row>
    <row r="11" spans="2:17" ht="15" customHeight="1">
      <c r="B11" s="402">
        <v>1985</v>
      </c>
      <c r="C11" s="180">
        <f t="shared" si="0"/>
        <v>424.01</v>
      </c>
      <c r="D11" s="18">
        <v>379.61</v>
      </c>
      <c r="E11" s="18">
        <v>391.49</v>
      </c>
      <c r="F11" s="18">
        <v>382.41</v>
      </c>
      <c r="G11" s="18">
        <v>396.44</v>
      </c>
      <c r="H11" s="18">
        <v>397.72</v>
      </c>
      <c r="I11" s="18">
        <v>400</v>
      </c>
      <c r="J11" s="18">
        <v>395.41</v>
      </c>
      <c r="K11" s="18">
        <v>405.04</v>
      </c>
      <c r="L11" s="18">
        <v>408.68</v>
      </c>
      <c r="M11" s="18">
        <v>411.54</v>
      </c>
      <c r="N11" s="56">
        <v>424.01</v>
      </c>
      <c r="O11" s="19">
        <v>417.27</v>
      </c>
      <c r="P11" s="12"/>
    </row>
    <row r="12" spans="2:17" ht="15" customHeight="1">
      <c r="B12" s="402">
        <v>1986</v>
      </c>
      <c r="C12" s="180">
        <f t="shared" si="0"/>
        <v>445.9</v>
      </c>
      <c r="D12" s="18">
        <v>425.5</v>
      </c>
      <c r="E12" s="18">
        <v>408.89</v>
      </c>
      <c r="F12" s="18">
        <v>409.64</v>
      </c>
      <c r="G12" s="18">
        <v>427.13</v>
      </c>
      <c r="H12" s="18">
        <v>422.26</v>
      </c>
      <c r="I12" s="18">
        <v>422.42</v>
      </c>
      <c r="J12" s="18">
        <v>433.59</v>
      </c>
      <c r="K12" s="18">
        <v>440.02</v>
      </c>
      <c r="L12" s="18">
        <v>442.77</v>
      </c>
      <c r="M12" s="18">
        <v>426.86</v>
      </c>
      <c r="N12" s="18">
        <v>432.35</v>
      </c>
      <c r="O12" s="57">
        <v>445.9</v>
      </c>
      <c r="P12" s="12"/>
    </row>
    <row r="13" spans="2:17" ht="15" customHeight="1">
      <c r="B13" s="402">
        <v>1987</v>
      </c>
      <c r="C13" s="180">
        <f t="shared" si="0"/>
        <v>474.8</v>
      </c>
      <c r="D13" s="18">
        <v>443.15</v>
      </c>
      <c r="E13" s="18">
        <v>447.97</v>
      </c>
      <c r="F13" s="18">
        <v>438.78</v>
      </c>
      <c r="G13" s="18">
        <v>463.69</v>
      </c>
      <c r="H13" s="18">
        <v>466.68</v>
      </c>
      <c r="I13" s="18">
        <v>451.76</v>
      </c>
      <c r="J13" s="18">
        <v>443.95</v>
      </c>
      <c r="K13" s="18">
        <v>464.58</v>
      </c>
      <c r="L13" s="18">
        <v>454.2</v>
      </c>
      <c r="M13" s="18">
        <v>457.59</v>
      </c>
      <c r="N13" s="56">
        <v>474.8</v>
      </c>
      <c r="O13" s="19">
        <v>472</v>
      </c>
      <c r="P13" s="12"/>
    </row>
    <row r="14" spans="2:17" ht="15" customHeight="1">
      <c r="B14" s="402">
        <v>1988</v>
      </c>
      <c r="C14" s="180">
        <f t="shared" si="0"/>
        <v>470.94</v>
      </c>
      <c r="D14" s="18">
        <v>465.05</v>
      </c>
      <c r="E14" s="56">
        <v>470.94</v>
      </c>
      <c r="F14" s="18">
        <v>428.88</v>
      </c>
      <c r="G14" s="18">
        <v>393.66</v>
      </c>
      <c r="H14" s="18">
        <v>401.6</v>
      </c>
      <c r="I14" s="18">
        <v>416.32</v>
      </c>
      <c r="J14" s="18">
        <v>413.33</v>
      </c>
      <c r="K14" s="18">
        <v>422.19</v>
      </c>
      <c r="L14" s="18">
        <v>425.49</v>
      </c>
      <c r="M14" s="18">
        <v>427.42</v>
      </c>
      <c r="N14" s="18">
        <v>433.66</v>
      </c>
      <c r="O14" s="19">
        <v>438.17</v>
      </c>
      <c r="P14" s="12"/>
    </row>
    <row r="15" spans="2:17" ht="15" customHeight="1">
      <c r="B15" s="402">
        <v>1989</v>
      </c>
      <c r="C15" s="180">
        <f t="shared" si="0"/>
        <v>446.23</v>
      </c>
      <c r="D15" s="18">
        <v>439.67</v>
      </c>
      <c r="E15" s="18">
        <v>423.14</v>
      </c>
      <c r="F15" s="18">
        <v>431.86</v>
      </c>
      <c r="G15" s="18">
        <v>444.25</v>
      </c>
      <c r="H15" s="18">
        <v>437.74</v>
      </c>
      <c r="I15" s="18">
        <v>431.9</v>
      </c>
      <c r="J15" s="18">
        <v>437.02</v>
      </c>
      <c r="K15" s="18">
        <v>419.94</v>
      </c>
      <c r="L15" s="18">
        <v>435.4</v>
      </c>
      <c r="M15" s="18">
        <v>430.25</v>
      </c>
      <c r="N15" s="56">
        <v>446.23</v>
      </c>
      <c r="O15" s="19">
        <v>435.64</v>
      </c>
      <c r="P15" s="12"/>
    </row>
    <row r="16" spans="2:17" ht="15" customHeight="1">
      <c r="B16" s="402">
        <v>1990</v>
      </c>
      <c r="C16" s="180">
        <f t="shared" si="0"/>
        <v>464.35</v>
      </c>
      <c r="D16" s="18">
        <v>444.1</v>
      </c>
      <c r="E16" s="18">
        <v>418.95</v>
      </c>
      <c r="F16" s="18">
        <v>439.98</v>
      </c>
      <c r="G16" s="18">
        <v>448.9</v>
      </c>
      <c r="H16" s="18">
        <v>457.66</v>
      </c>
      <c r="I16" s="56">
        <v>464.35</v>
      </c>
      <c r="J16" s="18">
        <v>444.62</v>
      </c>
      <c r="K16" s="18">
        <v>451.54</v>
      </c>
      <c r="L16" s="18">
        <v>451.81</v>
      </c>
      <c r="M16" s="18">
        <v>456.52</v>
      </c>
      <c r="N16" s="18">
        <v>461.9</v>
      </c>
      <c r="O16" s="19">
        <v>458.59</v>
      </c>
      <c r="P16" s="12"/>
    </row>
    <row r="17" spans="2:16" ht="15" customHeight="1">
      <c r="B17" s="402">
        <v>1991</v>
      </c>
      <c r="C17" s="180">
        <f t="shared" si="0"/>
        <v>488.47</v>
      </c>
      <c r="D17" s="18">
        <v>460.63</v>
      </c>
      <c r="E17" s="18">
        <v>472.63</v>
      </c>
      <c r="F17" s="18">
        <v>464.65</v>
      </c>
      <c r="G17" s="18">
        <v>482.74</v>
      </c>
      <c r="H17" s="18">
        <v>478.89</v>
      </c>
      <c r="I17" s="18">
        <v>483.85</v>
      </c>
      <c r="J17" s="56">
        <v>488.47</v>
      </c>
      <c r="K17" s="18">
        <v>487.36</v>
      </c>
      <c r="L17" s="18">
        <v>469.95</v>
      </c>
      <c r="M17" s="18">
        <v>474.42</v>
      </c>
      <c r="N17" s="18">
        <v>464.3</v>
      </c>
      <c r="O17" s="19">
        <v>481.57</v>
      </c>
      <c r="P17" s="216"/>
    </row>
    <row r="18" spans="2:16" ht="15" customHeight="1">
      <c r="B18" s="402">
        <v>1992</v>
      </c>
      <c r="C18" s="180">
        <f t="shared" si="0"/>
        <v>518</v>
      </c>
      <c r="D18" s="18">
        <v>479.87</v>
      </c>
      <c r="E18" s="18">
        <v>484.75</v>
      </c>
      <c r="F18" s="18">
        <v>491.09</v>
      </c>
      <c r="G18" s="18">
        <v>473.92</v>
      </c>
      <c r="H18" s="18">
        <v>499.5</v>
      </c>
      <c r="I18" s="18">
        <v>492.2</v>
      </c>
      <c r="J18" s="18">
        <v>484.97</v>
      </c>
      <c r="K18" s="18">
        <v>500</v>
      </c>
      <c r="L18" s="18">
        <v>499</v>
      </c>
      <c r="M18" s="56">
        <v>518</v>
      </c>
      <c r="N18" s="18">
        <v>506</v>
      </c>
      <c r="O18" s="19">
        <v>510</v>
      </c>
      <c r="P18" s="217"/>
    </row>
    <row r="19" spans="2:16" ht="15" customHeight="1">
      <c r="B19" s="402">
        <v>1993</v>
      </c>
      <c r="C19" s="180">
        <f t="shared" si="0"/>
        <v>541.20000000000005</v>
      </c>
      <c r="D19" s="18">
        <v>503</v>
      </c>
      <c r="E19" s="18">
        <v>502</v>
      </c>
      <c r="F19" s="18">
        <v>517</v>
      </c>
      <c r="G19" s="18">
        <v>511.1</v>
      </c>
      <c r="H19" s="18">
        <v>524</v>
      </c>
      <c r="I19" s="18">
        <v>532</v>
      </c>
      <c r="J19" s="18">
        <v>525</v>
      </c>
      <c r="K19" s="59">
        <v>541.20000000000005</v>
      </c>
      <c r="L19" s="18">
        <v>523</v>
      </c>
      <c r="M19" s="18">
        <v>531</v>
      </c>
      <c r="N19" s="18">
        <v>527</v>
      </c>
      <c r="O19" s="223">
        <v>541</v>
      </c>
      <c r="P19" s="217"/>
    </row>
    <row r="20" spans="2:16" ht="15" customHeight="1">
      <c r="B20" s="402">
        <v>1994</v>
      </c>
      <c r="C20" s="180">
        <f t="shared" si="0"/>
        <v>591.5</v>
      </c>
      <c r="D20" s="18">
        <v>532</v>
      </c>
      <c r="E20" s="18">
        <v>535</v>
      </c>
      <c r="F20" s="18">
        <v>540</v>
      </c>
      <c r="G20" s="18">
        <v>570</v>
      </c>
      <c r="H20" s="18">
        <v>564.70000000000005</v>
      </c>
      <c r="I20" s="18">
        <v>571.70000000000005</v>
      </c>
      <c r="J20" s="18">
        <v>577.4</v>
      </c>
      <c r="K20" s="18">
        <v>577.20000000000005</v>
      </c>
      <c r="L20" s="18">
        <v>557.1</v>
      </c>
      <c r="M20" s="18">
        <v>576.9</v>
      </c>
      <c r="N20" s="18">
        <v>573.79999999999995</v>
      </c>
      <c r="O20" s="57">
        <v>591.5</v>
      </c>
      <c r="P20" s="217"/>
    </row>
    <row r="21" spans="2:16" ht="15" customHeight="1">
      <c r="B21" s="402">
        <v>1995</v>
      </c>
      <c r="C21" s="180">
        <f t="shared" si="0"/>
        <v>619.20000000000005</v>
      </c>
      <c r="D21" s="18">
        <v>592.4</v>
      </c>
      <c r="E21" s="18">
        <v>569.5</v>
      </c>
      <c r="F21" s="18">
        <v>586.70000000000005</v>
      </c>
      <c r="G21" s="18">
        <v>592.70000000000005</v>
      </c>
      <c r="H21" s="18">
        <v>607</v>
      </c>
      <c r="I21" s="18">
        <v>598.20000000000005</v>
      </c>
      <c r="J21" s="18">
        <v>605.1</v>
      </c>
      <c r="K21" s="18">
        <v>604</v>
      </c>
      <c r="L21" s="56">
        <v>619.20000000000005</v>
      </c>
      <c r="M21" s="18">
        <v>606.6</v>
      </c>
      <c r="N21" s="18">
        <v>614.29999999999995</v>
      </c>
      <c r="O21" s="58">
        <v>604.20000000000005</v>
      </c>
      <c r="P21" s="217"/>
    </row>
    <row r="22" spans="2:16" ht="15" customHeight="1">
      <c r="B22" s="402">
        <v>1996</v>
      </c>
      <c r="C22" s="180">
        <f>MAX(D22:O22)</f>
        <v>639.9</v>
      </c>
      <c r="D22" s="18">
        <v>591</v>
      </c>
      <c r="E22" s="18">
        <v>604.29999999999995</v>
      </c>
      <c r="F22" s="18">
        <v>624.70000000000005</v>
      </c>
      <c r="G22" s="18">
        <v>634.5</v>
      </c>
      <c r="H22" s="18">
        <v>624.29999999999995</v>
      </c>
      <c r="I22" s="18">
        <v>627.29999999999995</v>
      </c>
      <c r="J22" s="18">
        <v>623</v>
      </c>
      <c r="K22" s="18">
        <v>619.5</v>
      </c>
      <c r="L22" s="20">
        <v>620.5</v>
      </c>
      <c r="M22" s="18">
        <v>635.20000000000005</v>
      </c>
      <c r="N22" s="18">
        <v>638.29999999999995</v>
      </c>
      <c r="O22" s="57">
        <v>639.9</v>
      </c>
      <c r="P22" s="216"/>
    </row>
    <row r="23" spans="2:16" ht="15" customHeight="1">
      <c r="B23" s="402">
        <v>1997</v>
      </c>
      <c r="C23" s="180">
        <f t="shared" si="0"/>
        <v>706.6</v>
      </c>
      <c r="D23" s="18">
        <v>626.9</v>
      </c>
      <c r="E23" s="18">
        <v>650.79999999999995</v>
      </c>
      <c r="F23" s="18">
        <v>650</v>
      </c>
      <c r="G23" s="18">
        <v>667.4</v>
      </c>
      <c r="H23" s="18">
        <v>678.6</v>
      </c>
      <c r="I23" s="18">
        <v>680</v>
      </c>
      <c r="J23" s="18">
        <v>689.5</v>
      </c>
      <c r="K23" s="18">
        <v>699.2</v>
      </c>
      <c r="L23" s="20">
        <v>691.1</v>
      </c>
      <c r="M23" s="18">
        <v>691.1</v>
      </c>
      <c r="N23" s="18">
        <v>678.5</v>
      </c>
      <c r="O23" s="57">
        <v>706.6</v>
      </c>
      <c r="P23" s="218"/>
    </row>
    <row r="24" spans="2:16" ht="15" customHeight="1">
      <c r="B24" s="402">
        <v>1998</v>
      </c>
      <c r="C24" s="180">
        <f t="shared" si="0"/>
        <v>726.4</v>
      </c>
      <c r="D24" s="18">
        <v>698.1</v>
      </c>
      <c r="E24" s="18">
        <v>715.1</v>
      </c>
      <c r="F24" s="18">
        <v>715.1</v>
      </c>
      <c r="G24" s="18">
        <v>696</v>
      </c>
      <c r="H24" s="18">
        <v>711.7</v>
      </c>
      <c r="I24" s="18">
        <v>715.1</v>
      </c>
      <c r="J24" s="18">
        <v>702.4</v>
      </c>
      <c r="K24" s="18">
        <v>712.6</v>
      </c>
      <c r="L24" s="20">
        <v>720.1</v>
      </c>
      <c r="M24" s="59">
        <v>726.4</v>
      </c>
      <c r="N24" s="18">
        <v>717.4</v>
      </c>
      <c r="O24" s="58">
        <v>693.7</v>
      </c>
      <c r="P24" s="217"/>
    </row>
    <row r="25" spans="2:16" ht="15" customHeight="1">
      <c r="B25" s="402">
        <v>1999</v>
      </c>
      <c r="C25" s="180">
        <f t="shared" si="0"/>
        <v>754.5</v>
      </c>
      <c r="D25" s="18">
        <v>705.6</v>
      </c>
      <c r="E25" s="18">
        <v>706.3</v>
      </c>
      <c r="F25" s="18">
        <v>733</v>
      </c>
      <c r="G25" s="18">
        <v>752</v>
      </c>
      <c r="H25" s="18">
        <v>743.7</v>
      </c>
      <c r="I25" s="18">
        <v>746.1</v>
      </c>
      <c r="J25" s="18">
        <v>727.3</v>
      </c>
      <c r="K25" s="18">
        <v>746.3</v>
      </c>
      <c r="L25" s="20">
        <v>739</v>
      </c>
      <c r="M25" s="18">
        <v>737.9</v>
      </c>
      <c r="N25" s="18">
        <v>727.1</v>
      </c>
      <c r="O25" s="57">
        <v>754.5</v>
      </c>
      <c r="P25" s="217"/>
    </row>
    <row r="26" spans="2:16" ht="15" customHeight="1">
      <c r="B26" s="406">
        <v>2000</v>
      </c>
      <c r="C26" s="181">
        <f t="shared" ref="C26:C34" si="1">MAX(D26:O26)</f>
        <v>777</v>
      </c>
      <c r="D26" s="18">
        <v>726.1</v>
      </c>
      <c r="E26" s="18">
        <v>735.1</v>
      </c>
      <c r="F26" s="18">
        <v>754.14</v>
      </c>
      <c r="G26" s="18">
        <v>768.4</v>
      </c>
      <c r="H26" s="18">
        <v>766.9</v>
      </c>
      <c r="I26" s="18">
        <v>754.9</v>
      </c>
      <c r="J26" s="18">
        <v>760.3</v>
      </c>
      <c r="K26" s="59">
        <v>777</v>
      </c>
      <c r="L26" s="20">
        <v>763.8</v>
      </c>
      <c r="M26" s="18">
        <v>762.6</v>
      </c>
      <c r="N26" s="18">
        <v>768.3</v>
      </c>
      <c r="O26" s="103">
        <v>764.4</v>
      </c>
      <c r="P26" s="216"/>
    </row>
    <row r="27" spans="2:16" ht="15" customHeight="1">
      <c r="B27" s="406">
        <v>2001</v>
      </c>
      <c r="C27" s="181">
        <f t="shared" si="1"/>
        <v>839.3</v>
      </c>
      <c r="D27" s="141">
        <v>742.4</v>
      </c>
      <c r="E27" s="141">
        <v>757.39</v>
      </c>
      <c r="F27" s="141">
        <v>794.3</v>
      </c>
      <c r="G27" s="141">
        <v>829.6</v>
      </c>
      <c r="H27" s="141">
        <v>812.5</v>
      </c>
      <c r="I27" s="141">
        <v>831.3</v>
      </c>
      <c r="J27" s="141">
        <v>826.2</v>
      </c>
      <c r="K27" s="146">
        <v>839.3</v>
      </c>
      <c r="L27" s="142">
        <v>799.8</v>
      </c>
      <c r="M27" s="141">
        <v>807.4</v>
      </c>
      <c r="N27" s="141">
        <v>806.6</v>
      </c>
      <c r="O27" s="147">
        <v>805.7</v>
      </c>
      <c r="P27" s="216"/>
    </row>
    <row r="28" spans="2:16" ht="15" customHeight="1">
      <c r="B28" s="402">
        <v>2002</v>
      </c>
      <c r="C28" s="181">
        <f t="shared" si="1"/>
        <v>857.35</v>
      </c>
      <c r="D28" s="18">
        <v>798.9</v>
      </c>
      <c r="E28" s="18">
        <v>807.4</v>
      </c>
      <c r="F28" s="18">
        <v>830.2</v>
      </c>
      <c r="G28" s="18">
        <v>839.6</v>
      </c>
      <c r="H28" s="59">
        <v>857.35</v>
      </c>
      <c r="I28" s="18">
        <v>824.45</v>
      </c>
      <c r="J28" s="18">
        <v>850.37</v>
      </c>
      <c r="K28" s="18">
        <v>825.14</v>
      </c>
      <c r="L28" s="189">
        <v>835.44</v>
      </c>
      <c r="M28" s="18">
        <v>828.32</v>
      </c>
      <c r="N28" s="18">
        <v>845.84</v>
      </c>
      <c r="O28" s="103">
        <v>854.87</v>
      </c>
      <c r="P28" s="217"/>
    </row>
    <row r="29" spans="2:16" ht="15" customHeight="1">
      <c r="B29" s="402">
        <v>2003</v>
      </c>
      <c r="C29" s="181">
        <f t="shared" si="1"/>
        <v>882.9</v>
      </c>
      <c r="D29" s="18">
        <v>822.74</v>
      </c>
      <c r="E29" s="18">
        <v>839.8</v>
      </c>
      <c r="F29" s="18">
        <v>836.9</v>
      </c>
      <c r="G29" s="18">
        <v>875.7</v>
      </c>
      <c r="H29" s="18">
        <v>866.2</v>
      </c>
      <c r="I29" s="18">
        <v>848.3</v>
      </c>
      <c r="J29" s="18">
        <v>841.7</v>
      </c>
      <c r="K29" s="18">
        <v>854.9</v>
      </c>
      <c r="L29" s="18">
        <v>863.6</v>
      </c>
      <c r="M29" s="20">
        <v>851.7</v>
      </c>
      <c r="N29" s="18">
        <v>874.4</v>
      </c>
      <c r="O29" s="190">
        <v>882.9</v>
      </c>
      <c r="P29" s="219"/>
    </row>
    <row r="30" spans="2:16" ht="15" customHeight="1">
      <c r="B30" s="403">
        <v>2004</v>
      </c>
      <c r="C30" s="215">
        <f t="shared" si="1"/>
        <v>924.96</v>
      </c>
      <c r="D30" s="141">
        <v>854.64</v>
      </c>
      <c r="E30" s="141">
        <v>879.51</v>
      </c>
      <c r="F30" s="141">
        <v>904.3</v>
      </c>
      <c r="G30" s="141">
        <v>923.05</v>
      </c>
      <c r="H30" s="146">
        <v>924.96</v>
      </c>
      <c r="I30" s="141">
        <v>890.57</v>
      </c>
      <c r="J30" s="141">
        <v>856.48</v>
      </c>
      <c r="K30" s="141">
        <v>892.91</v>
      </c>
      <c r="L30" s="141">
        <v>893.22</v>
      </c>
      <c r="M30" s="142">
        <v>907.64</v>
      </c>
      <c r="N30" s="141">
        <v>898.1</v>
      </c>
      <c r="O30" s="143">
        <v>890.08</v>
      </c>
    </row>
    <row r="31" spans="2:16" ht="15" customHeight="1">
      <c r="B31" s="402">
        <v>2005</v>
      </c>
      <c r="C31" s="181">
        <f>MAX(D31:O31)</f>
        <v>946.28</v>
      </c>
      <c r="D31" s="18">
        <v>887.37</v>
      </c>
      <c r="E31" s="18">
        <v>892.3</v>
      </c>
      <c r="F31" s="18">
        <v>927.19</v>
      </c>
      <c r="G31" s="18">
        <v>943.82</v>
      </c>
      <c r="H31" s="18">
        <v>924.11</v>
      </c>
      <c r="I31" s="18">
        <v>918.7</v>
      </c>
      <c r="J31" s="59">
        <v>946.28</v>
      </c>
      <c r="K31" s="18">
        <v>931.2</v>
      </c>
      <c r="L31" s="18">
        <v>934.82</v>
      </c>
      <c r="M31" s="20">
        <v>907.54</v>
      </c>
      <c r="N31" s="18">
        <v>913.88</v>
      </c>
      <c r="O31" s="19">
        <v>914.43</v>
      </c>
    </row>
    <row r="32" spans="2:16" ht="15" customHeight="1">
      <c r="B32" s="402">
        <v>2006</v>
      </c>
      <c r="C32" s="181">
        <f>MAX(D32:O32)</f>
        <v>971.34</v>
      </c>
      <c r="D32" s="18">
        <v>938.83</v>
      </c>
      <c r="E32" s="18">
        <v>933.75</v>
      </c>
      <c r="F32" s="18">
        <v>942.6</v>
      </c>
      <c r="G32" s="18">
        <v>945.76</v>
      </c>
      <c r="H32" s="18">
        <v>938.72</v>
      </c>
      <c r="I32" s="18">
        <v>962.51</v>
      </c>
      <c r="J32" s="234">
        <v>970.16</v>
      </c>
      <c r="K32" s="18">
        <v>964.26</v>
      </c>
      <c r="L32" s="59">
        <v>971.34</v>
      </c>
      <c r="M32" s="20">
        <v>962.41</v>
      </c>
      <c r="N32" s="18">
        <v>954.53</v>
      </c>
      <c r="O32" s="19">
        <v>960.66</v>
      </c>
    </row>
    <row r="33" spans="2:16" ht="15" customHeight="1">
      <c r="B33" s="402">
        <v>2007</v>
      </c>
      <c r="C33" s="181">
        <f>MAX(D33:O33)</f>
        <v>1024.1600000000001</v>
      </c>
      <c r="D33" s="18">
        <v>967.1</v>
      </c>
      <c r="E33" s="18">
        <v>987.34</v>
      </c>
      <c r="F33" s="18">
        <v>998.9</v>
      </c>
      <c r="G33" s="59">
        <v>1024.1600000000001</v>
      </c>
      <c r="H33" s="18">
        <v>1002.84</v>
      </c>
      <c r="I33" s="18">
        <v>998.79</v>
      </c>
      <c r="J33" s="234">
        <v>1013.41</v>
      </c>
      <c r="K33" s="18">
        <v>985.49</v>
      </c>
      <c r="L33" s="243">
        <v>1015.79</v>
      </c>
      <c r="M33" s="20">
        <v>1015.04</v>
      </c>
      <c r="N33" s="18">
        <v>1001.17</v>
      </c>
      <c r="O33" s="19">
        <v>1012.49</v>
      </c>
    </row>
    <row r="34" spans="2:16" ht="15" customHeight="1">
      <c r="B34" s="403">
        <v>2008</v>
      </c>
      <c r="C34" s="191">
        <f t="shared" si="1"/>
        <v>1064.25</v>
      </c>
      <c r="D34" s="141">
        <v>1005.24</v>
      </c>
      <c r="E34" s="141">
        <v>1012.41</v>
      </c>
      <c r="F34" s="141">
        <v>1050.81</v>
      </c>
      <c r="G34" s="251">
        <v>1055.01</v>
      </c>
      <c r="H34" s="141">
        <v>1059.0899999999999</v>
      </c>
      <c r="I34" s="141">
        <v>1015.85</v>
      </c>
      <c r="J34" s="252">
        <v>1020.06</v>
      </c>
      <c r="K34" s="141">
        <v>1024.8399999999999</v>
      </c>
      <c r="L34" s="146">
        <v>1064.25</v>
      </c>
      <c r="M34" s="142">
        <v>1052.92</v>
      </c>
      <c r="N34" s="141">
        <v>1041.45</v>
      </c>
      <c r="O34" s="143">
        <v>1053.1500000000001</v>
      </c>
    </row>
    <row r="35" spans="2:16" ht="15" customHeight="1">
      <c r="B35" s="402">
        <v>2009</v>
      </c>
      <c r="C35" s="181">
        <f t="shared" ref="C35:C47" si="2">MAX(D35:O35)</f>
        <v>1153.99</v>
      </c>
      <c r="D35" s="18">
        <v>1035.94</v>
      </c>
      <c r="E35" s="18">
        <v>1059.21</v>
      </c>
      <c r="F35" s="18">
        <v>1077.54</v>
      </c>
      <c r="G35" s="243">
        <v>1120.57</v>
      </c>
      <c r="H35" s="18">
        <v>1088.31</v>
      </c>
      <c r="I35" s="18">
        <v>1092.8699999999999</v>
      </c>
      <c r="J35" s="234">
        <v>1093.4100000000001</v>
      </c>
      <c r="K35" s="18">
        <v>1102.24</v>
      </c>
      <c r="L35" s="243">
        <v>1130.1600000000001</v>
      </c>
      <c r="M35" s="20">
        <v>1105.49</v>
      </c>
      <c r="N35" s="18">
        <v>1099.78</v>
      </c>
      <c r="O35" s="190">
        <v>1153.99</v>
      </c>
    </row>
    <row r="36" spans="2:16" ht="15" customHeight="1">
      <c r="B36" s="403">
        <v>2010</v>
      </c>
      <c r="C36" s="191">
        <f t="shared" si="2"/>
        <v>1222.4000000000001</v>
      </c>
      <c r="D36" s="141">
        <v>1125.74</v>
      </c>
      <c r="E36" s="141">
        <v>1154.75</v>
      </c>
      <c r="F36" s="141">
        <v>1203.75</v>
      </c>
      <c r="G36" s="251">
        <v>1220.6099999999999</v>
      </c>
      <c r="H36" s="146">
        <v>1222.4000000000001</v>
      </c>
      <c r="I36" s="141">
        <v>1171.56</v>
      </c>
      <c r="J36" s="252">
        <v>1156.32</v>
      </c>
      <c r="K36" s="141">
        <v>1179.48</v>
      </c>
      <c r="L36" s="251">
        <v>1176.44</v>
      </c>
      <c r="M36" s="142">
        <v>1184.5899999999999</v>
      </c>
      <c r="N36" s="141">
        <v>1144.6500000000001</v>
      </c>
      <c r="O36" s="468">
        <v>1091.32</v>
      </c>
    </row>
    <row r="37" spans="2:16" ht="15" customHeight="1">
      <c r="B37" s="402">
        <v>2011</v>
      </c>
      <c r="C37" s="181">
        <f t="shared" si="2"/>
        <v>1286.46</v>
      </c>
      <c r="D37" s="18">
        <v>1161.02</v>
      </c>
      <c r="E37" s="18">
        <v>1200.42</v>
      </c>
      <c r="F37" s="18">
        <v>1252.47</v>
      </c>
      <c r="G37" s="243">
        <v>1250.26</v>
      </c>
      <c r="H37" s="482">
        <v>1286.46</v>
      </c>
      <c r="I37" s="18">
        <v>1248.9000000000001</v>
      </c>
      <c r="J37" s="234">
        <v>1248.58</v>
      </c>
      <c r="K37" s="18">
        <v>1263.1199999999999</v>
      </c>
      <c r="L37" s="243">
        <v>1281.02</v>
      </c>
      <c r="M37" s="20">
        <v>1271.18</v>
      </c>
      <c r="N37" s="18">
        <v>1218.26</v>
      </c>
      <c r="O37" s="483">
        <v>1233.3399999999999</v>
      </c>
    </row>
    <row r="38" spans="2:16" ht="15" customHeight="1">
      <c r="B38" s="402">
        <v>2012</v>
      </c>
      <c r="C38" s="181">
        <f t="shared" si="2"/>
        <v>1386.27</v>
      </c>
      <c r="D38" s="18">
        <v>1253.82</v>
      </c>
      <c r="E38" s="18">
        <v>1284.3699999999999</v>
      </c>
      <c r="F38" s="18">
        <v>1335.63</v>
      </c>
      <c r="G38" s="243">
        <v>1355.27</v>
      </c>
      <c r="H38" s="485">
        <v>1365.59</v>
      </c>
      <c r="I38" s="59">
        <v>1386.27</v>
      </c>
      <c r="J38" s="234">
        <v>1355.98</v>
      </c>
      <c r="K38" s="18">
        <v>1342.02</v>
      </c>
      <c r="L38" s="243">
        <v>1328.37</v>
      </c>
      <c r="M38" s="20">
        <v>1320.07</v>
      </c>
      <c r="N38" s="18">
        <v>1307.3800000000001</v>
      </c>
      <c r="O38" s="483">
        <v>1346.02</v>
      </c>
    </row>
    <row r="39" spans="2:16" ht="15" customHeight="1">
      <c r="B39" s="402">
        <v>2013</v>
      </c>
      <c r="C39" s="181">
        <f t="shared" si="2"/>
        <v>1443.94</v>
      </c>
      <c r="D39" s="18">
        <v>1377.75</v>
      </c>
      <c r="E39" s="18">
        <v>1401.57</v>
      </c>
      <c r="F39" s="18">
        <v>1429.17</v>
      </c>
      <c r="G39" s="59">
        <v>1443.94</v>
      </c>
      <c r="H39" s="485">
        <v>1414.49</v>
      </c>
      <c r="I39" s="243">
        <v>1365.57</v>
      </c>
      <c r="J39" s="234">
        <v>1381.75</v>
      </c>
      <c r="K39" s="18">
        <v>1388.59</v>
      </c>
      <c r="L39" s="243">
        <v>1406.22</v>
      </c>
      <c r="M39" s="20">
        <v>1390.97</v>
      </c>
      <c r="N39" s="18">
        <v>1400.68</v>
      </c>
      <c r="O39" s="483">
        <v>1425.56</v>
      </c>
    </row>
    <row r="40" spans="2:16" ht="15" customHeight="1">
      <c r="B40" s="402">
        <v>2014</v>
      </c>
      <c r="C40" s="181">
        <f>MAX(D40:O40)</f>
        <v>1503.46</v>
      </c>
      <c r="D40" s="490">
        <v>1407.75</v>
      </c>
      <c r="E40" s="490">
        <v>1435.35</v>
      </c>
      <c r="F40" s="490">
        <v>1465.56</v>
      </c>
      <c r="G40" s="490">
        <v>1428.82</v>
      </c>
      <c r="H40" s="490">
        <v>1387.09</v>
      </c>
      <c r="I40" s="490">
        <v>1454.88</v>
      </c>
      <c r="J40" s="491">
        <v>1503.46</v>
      </c>
      <c r="K40" s="490">
        <v>1444.9</v>
      </c>
      <c r="L40" s="490">
        <v>1486.43</v>
      </c>
      <c r="M40" s="490">
        <v>1486.24</v>
      </c>
      <c r="N40" s="490">
        <v>1434.69</v>
      </c>
      <c r="O40" s="492">
        <v>1462.68</v>
      </c>
    </row>
    <row r="41" spans="2:16" ht="15" customHeight="1">
      <c r="B41" s="402">
        <v>2015</v>
      </c>
      <c r="C41" s="181">
        <f t="shared" ref="C41" si="3">MAX(D41:O41)</f>
        <v>1612</v>
      </c>
      <c r="D41" s="490">
        <v>1502</v>
      </c>
      <c r="E41" s="490">
        <v>1475</v>
      </c>
      <c r="F41" s="490">
        <v>1529</v>
      </c>
      <c r="G41" s="490">
        <v>1566</v>
      </c>
      <c r="H41" s="490">
        <v>1607</v>
      </c>
      <c r="I41" s="490">
        <v>1609</v>
      </c>
      <c r="J41" s="491">
        <v>1612</v>
      </c>
      <c r="K41" s="490">
        <v>1572</v>
      </c>
      <c r="L41" s="490">
        <v>1544</v>
      </c>
      <c r="M41" s="490">
        <v>1537</v>
      </c>
      <c r="N41" s="490">
        <v>1519</v>
      </c>
      <c r="O41" s="492">
        <v>1557</v>
      </c>
    </row>
    <row r="42" spans="2:16" ht="15" customHeight="1">
      <c r="B42" s="403">
        <v>2016</v>
      </c>
      <c r="C42" s="191">
        <f t="shared" si="2"/>
        <v>1618</v>
      </c>
      <c r="D42" s="542">
        <v>1541</v>
      </c>
      <c r="E42" s="542">
        <v>1570</v>
      </c>
      <c r="F42" s="542">
        <v>1588</v>
      </c>
      <c r="G42" s="543">
        <v>1618</v>
      </c>
      <c r="H42" s="542">
        <v>1612.19</v>
      </c>
      <c r="I42" s="542">
        <v>1579.27</v>
      </c>
      <c r="J42" s="544">
        <v>1532</v>
      </c>
      <c r="K42" s="542">
        <v>1604</v>
      </c>
      <c r="L42" s="542">
        <v>1578</v>
      </c>
      <c r="M42" s="542">
        <v>1563</v>
      </c>
      <c r="N42" s="542">
        <v>1500</v>
      </c>
      <c r="O42" s="545">
        <v>1548</v>
      </c>
    </row>
    <row r="43" spans="2:16" ht="15" customHeight="1">
      <c r="B43" s="402">
        <v>2017</v>
      </c>
      <c r="C43" s="181">
        <f t="shared" si="2"/>
        <v>1657</v>
      </c>
      <c r="D43" s="490">
        <v>1540</v>
      </c>
      <c r="E43" s="490">
        <v>1605</v>
      </c>
      <c r="F43" s="490">
        <v>1605</v>
      </c>
      <c r="G43" s="554">
        <v>1657</v>
      </c>
      <c r="H43" s="490">
        <v>1642</v>
      </c>
      <c r="I43" s="490">
        <v>1630</v>
      </c>
      <c r="J43" s="555">
        <v>1571</v>
      </c>
      <c r="K43" s="490">
        <v>1614</v>
      </c>
      <c r="L43" s="490">
        <v>1605</v>
      </c>
      <c r="M43" s="490">
        <v>1631</v>
      </c>
      <c r="N43" s="490">
        <v>1547</v>
      </c>
      <c r="O43" s="492">
        <v>1578</v>
      </c>
    </row>
    <row r="44" spans="2:16" ht="15" customHeight="1">
      <c r="B44" s="403">
        <v>2018</v>
      </c>
      <c r="C44" s="191">
        <f t="shared" si="2"/>
        <v>1665</v>
      </c>
      <c r="D44" s="542">
        <v>1592</v>
      </c>
      <c r="E44" s="542">
        <v>1578</v>
      </c>
      <c r="F44" s="542">
        <v>1648</v>
      </c>
      <c r="G44" s="544">
        <v>1662</v>
      </c>
      <c r="H44" s="542">
        <v>1649</v>
      </c>
      <c r="I44" s="542">
        <v>1662</v>
      </c>
      <c r="J44" s="544">
        <v>1653</v>
      </c>
      <c r="K44" s="542">
        <v>1621</v>
      </c>
      <c r="L44" s="542">
        <v>1646</v>
      </c>
      <c r="M44" s="542">
        <v>1651</v>
      </c>
      <c r="N44" s="542">
        <v>1613</v>
      </c>
      <c r="O44" s="560">
        <v>1665</v>
      </c>
    </row>
    <row r="45" spans="2:16" ht="15" customHeight="1">
      <c r="B45" s="402">
        <v>2019</v>
      </c>
      <c r="C45" s="181">
        <f t="shared" ref="C45:C46" si="4">MAX(D45:O45)</f>
        <v>1961</v>
      </c>
      <c r="D45" s="490">
        <v>1616</v>
      </c>
      <c r="E45" s="490">
        <v>1704</v>
      </c>
      <c r="F45" s="490">
        <v>1797</v>
      </c>
      <c r="G45" s="555">
        <v>1869</v>
      </c>
      <c r="H45" s="490">
        <v>1907</v>
      </c>
      <c r="I45" s="490">
        <v>1884</v>
      </c>
      <c r="J45" s="555">
        <v>1873</v>
      </c>
      <c r="K45" s="554">
        <v>1961</v>
      </c>
      <c r="L45" s="490">
        <v>1881</v>
      </c>
      <c r="M45" s="490">
        <v>1865</v>
      </c>
      <c r="N45" s="490">
        <v>1891</v>
      </c>
      <c r="O45" s="597">
        <v>1924</v>
      </c>
    </row>
    <row r="46" spans="2:16" ht="15" customHeight="1">
      <c r="B46" s="403">
        <v>2020</v>
      </c>
      <c r="C46" s="191">
        <f t="shared" si="4"/>
        <v>1969</v>
      </c>
      <c r="D46" s="542">
        <v>1941</v>
      </c>
      <c r="E46" s="542">
        <v>1944</v>
      </c>
      <c r="F46" s="543">
        <v>1969</v>
      </c>
      <c r="G46" s="544">
        <v>1461</v>
      </c>
      <c r="H46" s="542">
        <v>1526</v>
      </c>
      <c r="I46" s="542">
        <v>1556</v>
      </c>
      <c r="J46" s="544">
        <v>1589</v>
      </c>
      <c r="K46" s="544">
        <v>1727</v>
      </c>
      <c r="L46" s="542">
        <v>1775</v>
      </c>
      <c r="M46" s="542">
        <v>1815</v>
      </c>
      <c r="N46" s="542">
        <v>1805</v>
      </c>
      <c r="O46" s="704">
        <v>1817</v>
      </c>
    </row>
    <row r="47" spans="2:16" ht="15" customHeight="1" thickBot="1">
      <c r="B47" s="705">
        <v>2021</v>
      </c>
      <c r="C47" s="706">
        <f t="shared" si="2"/>
        <v>2020</v>
      </c>
      <c r="D47" s="707">
        <v>1780</v>
      </c>
      <c r="E47" s="707">
        <v>1835</v>
      </c>
      <c r="F47" s="709">
        <v>1956</v>
      </c>
      <c r="G47" s="709">
        <v>1924</v>
      </c>
      <c r="H47" s="708">
        <v>2020</v>
      </c>
      <c r="I47" s="707">
        <v>1940</v>
      </c>
      <c r="J47" s="709">
        <v>1956</v>
      </c>
      <c r="K47" s="709">
        <v>1990</v>
      </c>
      <c r="L47" s="707">
        <v>1994</v>
      </c>
      <c r="M47" s="707">
        <v>1998</v>
      </c>
      <c r="N47" s="707">
        <v>1912</v>
      </c>
      <c r="O47" s="710">
        <v>1899</v>
      </c>
    </row>
    <row r="48" spans="2:16" ht="15" customHeight="1" thickBot="1">
      <c r="B48" s="4"/>
      <c r="C48" s="51" t="s">
        <v>38</v>
      </c>
      <c r="D48" s="7"/>
      <c r="E48" s="7"/>
      <c r="F48" s="12"/>
      <c r="G48" s="15"/>
      <c r="H48" s="12"/>
      <c r="I48" s="12"/>
      <c r="J48" s="12"/>
      <c r="K48" s="12"/>
      <c r="L48" s="12"/>
      <c r="M48" s="12"/>
      <c r="N48" s="12"/>
      <c r="O48" s="12"/>
      <c r="P48" s="12"/>
    </row>
    <row r="49" spans="2:16" ht="24.9" customHeight="1" thickBot="1">
      <c r="B49" s="689" t="s">
        <v>56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1"/>
      <c r="P49" s="12"/>
    </row>
    <row r="50" spans="2:16" ht="15" customHeight="1">
      <c r="B50" s="401" t="s">
        <v>57</v>
      </c>
      <c r="C50" s="29">
        <f t="shared" ref="C50:O50" si="5">RATE(7,,-C6,C13)*100</f>
        <v>6.5028262216968642</v>
      </c>
      <c r="D50" s="30">
        <f t="shared" si="5"/>
        <v>7.0200406976875298</v>
      </c>
      <c r="E50" s="30">
        <f t="shared" si="5"/>
        <v>6.4437251281640853</v>
      </c>
      <c r="F50" s="30">
        <f t="shared" si="5"/>
        <v>5.9701313507554072</v>
      </c>
      <c r="G50" s="30">
        <f t="shared" si="5"/>
        <v>6.1431899430443035</v>
      </c>
      <c r="H50" s="30">
        <f t="shared" si="5"/>
        <v>7.1637749231921246</v>
      </c>
      <c r="I50" s="30">
        <f t="shared" si="5"/>
        <v>6.6807486244482659</v>
      </c>
      <c r="J50" s="30">
        <f t="shared" si="5"/>
        <v>6.4715166337714045</v>
      </c>
      <c r="K50" s="30">
        <f t="shared" si="5"/>
        <v>6.7046233979973504</v>
      </c>
      <c r="L50" s="30">
        <f t="shared" si="5"/>
        <v>6.4865000953844429</v>
      </c>
      <c r="M50" s="30">
        <f t="shared" si="5"/>
        <v>6.5042379138453201</v>
      </c>
      <c r="N50" s="30">
        <f t="shared" si="5"/>
        <v>7.0617426946172106</v>
      </c>
      <c r="O50" s="31">
        <f t="shared" si="5"/>
        <v>7.188948861976467</v>
      </c>
      <c r="P50" s="12"/>
    </row>
    <row r="51" spans="2:16" ht="15" customHeight="1">
      <c r="B51" s="402" t="s">
        <v>58</v>
      </c>
      <c r="C51" s="32">
        <f t="shared" ref="C51:O51" si="6">RATE(2,,-C13,C15)*100</f>
        <v>-3.055309804845165</v>
      </c>
      <c r="D51" s="18">
        <f t="shared" si="6"/>
        <v>-0.39341746090318286</v>
      </c>
      <c r="E51" s="18">
        <f t="shared" si="6"/>
        <v>-2.8108966409892742</v>
      </c>
      <c r="F51" s="18">
        <f t="shared" si="6"/>
        <v>-0.79168388753937258</v>
      </c>
      <c r="G51" s="18">
        <f t="shared" si="6"/>
        <v>-2.1186719373074543</v>
      </c>
      <c r="H51" s="18">
        <f t="shared" si="6"/>
        <v>-3.1502459439453423</v>
      </c>
      <c r="I51" s="18">
        <f t="shared" si="6"/>
        <v>-2.222773379032787</v>
      </c>
      <c r="J51" s="18">
        <f t="shared" si="6"/>
        <v>-0.78356315488335138</v>
      </c>
      <c r="K51" s="18">
        <f t="shared" si="6"/>
        <v>-4.9256495192649083</v>
      </c>
      <c r="L51" s="18">
        <f t="shared" si="6"/>
        <v>-2.0914435561276115</v>
      </c>
      <c r="M51" s="18">
        <f t="shared" si="6"/>
        <v>-3.0333979750837399</v>
      </c>
      <c r="N51" s="18">
        <f t="shared" si="6"/>
        <v>-3.055309804845165</v>
      </c>
      <c r="O51" s="19">
        <f t="shared" si="6"/>
        <v>-3.9288752176327644</v>
      </c>
      <c r="P51" s="12"/>
    </row>
    <row r="52" spans="2:16" ht="15" customHeight="1">
      <c r="B52" s="407" t="s">
        <v>36</v>
      </c>
      <c r="C52" s="145">
        <f>RATE(10,,-C16,C26)*100</f>
        <v>5.2828316095469283</v>
      </c>
      <c r="D52" s="145">
        <f t="shared" ref="D52:O52" si="7">RATE(10,,-D16,D26)*100</f>
        <v>5.0392389251816851</v>
      </c>
      <c r="E52" s="145">
        <f t="shared" si="7"/>
        <v>5.7836195025804136</v>
      </c>
      <c r="F52" s="145">
        <f t="shared" si="7"/>
        <v>5.5363097099947538</v>
      </c>
      <c r="G52" s="145">
        <f t="shared" si="7"/>
        <v>5.5221849292040348</v>
      </c>
      <c r="H52" s="145">
        <f t="shared" si="7"/>
        <v>5.2978680430307064</v>
      </c>
      <c r="I52" s="145">
        <f t="shared" si="7"/>
        <v>4.9794752436953074</v>
      </c>
      <c r="J52" s="145">
        <f t="shared" si="7"/>
        <v>5.5114519943119662</v>
      </c>
      <c r="K52" s="145">
        <f t="shared" si="7"/>
        <v>5.5777686302314828</v>
      </c>
      <c r="L52" s="145">
        <f t="shared" si="7"/>
        <v>5.3907224270810019</v>
      </c>
      <c r="M52" s="145">
        <f t="shared" si="7"/>
        <v>5.2649283608106288</v>
      </c>
      <c r="N52" s="145">
        <f t="shared" si="7"/>
        <v>5.2199974883074276</v>
      </c>
      <c r="O52" s="144">
        <f t="shared" si="7"/>
        <v>5.242125299427622</v>
      </c>
      <c r="P52" s="12"/>
    </row>
    <row r="53" spans="2:16" ht="15" customHeight="1">
      <c r="B53" s="407" t="s">
        <v>284</v>
      </c>
      <c r="C53" s="472">
        <f>RATE(10,,-C26,C36)*100</f>
        <v>4.6355429628789642</v>
      </c>
      <c r="D53" s="473">
        <f t="shared" ref="D53:O53" si="8">RATE(10,,-D26,D36)*100</f>
        <v>4.4826468712216956</v>
      </c>
      <c r="E53" s="473">
        <f t="shared" si="8"/>
        <v>4.6198648874055381</v>
      </c>
      <c r="F53" s="473">
        <f t="shared" si="8"/>
        <v>4.7872474224917383</v>
      </c>
      <c r="G53" s="473">
        <f t="shared" si="8"/>
        <v>4.7367170101097251</v>
      </c>
      <c r="H53" s="473">
        <f t="shared" si="8"/>
        <v>4.7725370349430252</v>
      </c>
      <c r="I53" s="473">
        <f t="shared" si="8"/>
        <v>4.4930753144853979</v>
      </c>
      <c r="J53" s="473">
        <f t="shared" si="8"/>
        <v>4.281988685782955</v>
      </c>
      <c r="K53" s="473">
        <f t="shared" si="8"/>
        <v>4.2622172008904489</v>
      </c>
      <c r="L53" s="473">
        <f t="shared" si="8"/>
        <v>4.4140671641492935</v>
      </c>
      <c r="M53" s="473">
        <f t="shared" si="8"/>
        <v>4.5026073132525397</v>
      </c>
      <c r="N53" s="473">
        <f t="shared" si="8"/>
        <v>4.067276252261772</v>
      </c>
      <c r="O53" s="144">
        <f t="shared" si="8"/>
        <v>3.6246659620141037</v>
      </c>
      <c r="P53" s="12"/>
    </row>
    <row r="54" spans="2:16" ht="15" customHeight="1" thickBot="1">
      <c r="B54" s="408" t="s">
        <v>352</v>
      </c>
      <c r="C54" s="471">
        <f>RATE(11,,-C36,C47)*100</f>
        <v>4.6720499850444543</v>
      </c>
      <c r="D54" s="469">
        <f t="shared" ref="D54:O54" si="9">RATE(11,,-D36,D47)*100</f>
        <v>4.2531687317610807</v>
      </c>
      <c r="E54" s="469">
        <f t="shared" si="9"/>
        <v>4.3004520464084983</v>
      </c>
      <c r="F54" s="469">
        <f t="shared" si="9"/>
        <v>4.512105106095329</v>
      </c>
      <c r="G54" s="469">
        <f t="shared" si="9"/>
        <v>4.2236299513941971</v>
      </c>
      <c r="H54" s="469">
        <f t="shared" si="9"/>
        <v>4.6720499850444543</v>
      </c>
      <c r="I54" s="469">
        <f t="shared" si="9"/>
        <v>4.6917530892429751</v>
      </c>
      <c r="J54" s="469">
        <f t="shared" si="9"/>
        <v>4.8947398689787409</v>
      </c>
      <c r="K54" s="469">
        <f t="shared" si="9"/>
        <v>4.8699681091484504</v>
      </c>
      <c r="L54" s="469">
        <f t="shared" si="9"/>
        <v>4.9137248582081314</v>
      </c>
      <c r="M54" s="469">
        <f t="shared" si="9"/>
        <v>4.8670030167590994</v>
      </c>
      <c r="N54" s="469">
        <f t="shared" si="9"/>
        <v>4.7745791401888136</v>
      </c>
      <c r="O54" s="21">
        <f t="shared" si="9"/>
        <v>5.1647658299910315</v>
      </c>
      <c r="P54" s="12"/>
    </row>
    <row r="55" spans="2:16" ht="15" customHeight="1" thickBot="1">
      <c r="B55" s="5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2:16" ht="24.9" customHeight="1" thickBot="1">
      <c r="B56" s="692" t="s">
        <v>60</v>
      </c>
      <c r="C56" s="693"/>
      <c r="D56" s="693"/>
      <c r="E56" s="693"/>
      <c r="F56" s="693"/>
      <c r="G56" s="693"/>
      <c r="H56" s="693"/>
      <c r="I56" s="693"/>
      <c r="J56" s="693"/>
      <c r="K56" s="693"/>
      <c r="L56" s="693"/>
      <c r="M56" s="693"/>
      <c r="N56" s="693"/>
      <c r="O56" s="694"/>
      <c r="P56" s="12"/>
    </row>
    <row r="57" spans="2:16" ht="15" customHeight="1">
      <c r="B57" s="409" t="s">
        <v>62</v>
      </c>
      <c r="C57" s="148">
        <f>+C26-C6</f>
        <v>471.52</v>
      </c>
      <c r="D57" s="148">
        <f t="shared" ref="D57:O57" si="10">+D26-D6</f>
        <v>450.49</v>
      </c>
      <c r="E57" s="148">
        <f t="shared" si="10"/>
        <v>445.76000000000005</v>
      </c>
      <c r="F57" s="148">
        <f t="shared" si="10"/>
        <v>461.75</v>
      </c>
      <c r="G57" s="148">
        <f t="shared" si="10"/>
        <v>462.91999999999996</v>
      </c>
      <c r="H57" s="148">
        <f t="shared" si="10"/>
        <v>479.37</v>
      </c>
      <c r="I57" s="148">
        <f t="shared" si="10"/>
        <v>467.62</v>
      </c>
      <c r="J57" s="148">
        <f t="shared" si="10"/>
        <v>474.07999999999993</v>
      </c>
      <c r="K57" s="148">
        <f t="shared" si="10"/>
        <v>482.03</v>
      </c>
      <c r="L57" s="148">
        <f t="shared" si="10"/>
        <v>471.25999999999993</v>
      </c>
      <c r="M57" s="148">
        <f t="shared" si="10"/>
        <v>468.22</v>
      </c>
      <c r="N57" s="148">
        <f t="shared" si="10"/>
        <v>473.80999999999995</v>
      </c>
      <c r="O57" s="17">
        <f t="shared" si="10"/>
        <v>474.07</v>
      </c>
      <c r="P57" s="12"/>
    </row>
    <row r="58" spans="2:16" ht="15" customHeight="1">
      <c r="B58" s="479" t="s">
        <v>285</v>
      </c>
      <c r="C58" s="474">
        <f>+C36-C26</f>
        <v>445.40000000000009</v>
      </c>
      <c r="D58" s="475">
        <f t="shared" ref="D58:O58" si="11">+D36-D26</f>
        <v>399.64</v>
      </c>
      <c r="E58" s="475">
        <f t="shared" si="11"/>
        <v>419.65</v>
      </c>
      <c r="F58" s="475">
        <f t="shared" si="11"/>
        <v>449.61</v>
      </c>
      <c r="G58" s="475">
        <f t="shared" si="11"/>
        <v>452.20999999999992</v>
      </c>
      <c r="H58" s="475">
        <f t="shared" si="11"/>
        <v>455.50000000000011</v>
      </c>
      <c r="I58" s="475">
        <f t="shared" si="11"/>
        <v>416.65999999999997</v>
      </c>
      <c r="J58" s="475">
        <f t="shared" si="11"/>
        <v>396.02</v>
      </c>
      <c r="K58" s="475">
        <f t="shared" si="11"/>
        <v>402.48</v>
      </c>
      <c r="L58" s="475">
        <f t="shared" si="11"/>
        <v>412.6400000000001</v>
      </c>
      <c r="M58" s="475">
        <f t="shared" si="11"/>
        <v>421.9899999999999</v>
      </c>
      <c r="N58" s="475">
        <f t="shared" si="11"/>
        <v>376.35000000000014</v>
      </c>
      <c r="O58" s="476">
        <f t="shared" si="11"/>
        <v>326.91999999999996</v>
      </c>
      <c r="P58" s="12"/>
    </row>
    <row r="59" spans="2:16" ht="15" customHeight="1" thickBot="1">
      <c r="B59" s="410" t="s">
        <v>353</v>
      </c>
      <c r="C59" s="149">
        <f>+C47-C36</f>
        <v>797.59999999999991</v>
      </c>
      <c r="D59" s="477">
        <f>+D47-D36</f>
        <v>654.26</v>
      </c>
      <c r="E59" s="477">
        <f t="shared" ref="E59:O59" si="12">+E47-E36</f>
        <v>680.25</v>
      </c>
      <c r="F59" s="477">
        <f t="shared" si="12"/>
        <v>752.25</v>
      </c>
      <c r="G59" s="477">
        <f t="shared" si="12"/>
        <v>703.3900000000001</v>
      </c>
      <c r="H59" s="477">
        <f t="shared" si="12"/>
        <v>797.59999999999991</v>
      </c>
      <c r="I59" s="477">
        <f t="shared" si="12"/>
        <v>768.44</v>
      </c>
      <c r="J59" s="477">
        <f t="shared" si="12"/>
        <v>799.68000000000006</v>
      </c>
      <c r="K59" s="477">
        <f t="shared" si="12"/>
        <v>810.52</v>
      </c>
      <c r="L59" s="477">
        <f t="shared" si="12"/>
        <v>817.56</v>
      </c>
      <c r="M59" s="477">
        <f t="shared" si="12"/>
        <v>813.41000000000008</v>
      </c>
      <c r="N59" s="477">
        <f t="shared" si="12"/>
        <v>767.34999999999991</v>
      </c>
      <c r="O59" s="478">
        <f t="shared" si="12"/>
        <v>807.68000000000006</v>
      </c>
      <c r="P59" s="12"/>
    </row>
    <row r="60" spans="2:16" ht="15" customHeight="1">
      <c r="B60" s="5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2:16" ht="15" customHeight="1">
      <c r="B61" s="5"/>
      <c r="C61" s="52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</row>
    <row r="62" spans="2:16" ht="15" customHeight="1">
      <c r="B62" s="4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2:16" ht="15" customHeight="1">
      <c r="B63" s="5"/>
      <c r="C63" s="16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2"/>
    </row>
    <row r="64" spans="2:16" ht="15" customHeight="1">
      <c r="B64" s="5"/>
      <c r="C64" s="16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2"/>
    </row>
    <row r="65" spans="2:16" ht="15" customHeight="1">
      <c r="B65" s="5"/>
      <c r="C65" s="16"/>
      <c r="D65" s="14"/>
      <c r="E65" s="14"/>
      <c r="F65" s="54"/>
      <c r="G65" s="14"/>
      <c r="H65" s="14"/>
      <c r="I65" s="14"/>
      <c r="J65" s="14"/>
      <c r="K65" s="14"/>
      <c r="L65" s="14"/>
      <c r="M65" s="14"/>
      <c r="N65" s="14"/>
      <c r="O65" s="14"/>
      <c r="P65" s="12"/>
    </row>
    <row r="66" spans="2:16" ht="15" customHeight="1">
      <c r="B66" s="5"/>
      <c r="C66" s="16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2"/>
    </row>
    <row r="67" spans="2:16" ht="15" customHeight="1">
      <c r="B67" s="5"/>
      <c r="C67" s="16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2"/>
    </row>
    <row r="68" spans="2:16" ht="15" customHeight="1">
      <c r="B68" s="5"/>
      <c r="C68" s="16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2"/>
    </row>
    <row r="69" spans="2:16" ht="15" customHeight="1">
      <c r="B69" s="5"/>
      <c r="C69" s="16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2:16" ht="15" customHeight="1">
      <c r="B70" s="5"/>
      <c r="C70" s="16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2:16" ht="15" customHeight="1">
      <c r="B71" s="5"/>
      <c r="C71" s="16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2:16" ht="15" customHeight="1">
      <c r="B72" s="5"/>
      <c r="C72" s="16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2:16" ht="15" customHeight="1">
      <c r="B73" s="5"/>
      <c r="C73" s="16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2:16" ht="15" customHeight="1">
      <c r="B74" s="5"/>
      <c r="C74" s="16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2:16" ht="15" customHeight="1">
      <c r="B75" s="5"/>
      <c r="C75" s="16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2:16" ht="15" customHeight="1">
      <c r="B76" s="5"/>
      <c r="C76" s="16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2:16" ht="15" customHeight="1">
      <c r="B77" s="5"/>
      <c r="C77" s="16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131" spans="2:2" ht="15" customHeight="1">
      <c r="B131" s="4"/>
    </row>
  </sheetData>
  <mergeCells count="6">
    <mergeCell ref="B49:O49"/>
    <mergeCell ref="B56:O56"/>
    <mergeCell ref="B1:O1"/>
    <mergeCell ref="B2:O2"/>
    <mergeCell ref="B3:O3"/>
    <mergeCell ref="B4:O4"/>
  </mergeCells>
  <phoneticPr fontId="0" type="noConversion"/>
  <printOptions horizontalCentered="1"/>
  <pageMargins left="0.39370078740157483" right="0.39370078740157483" top="0.78740157480314965" bottom="0.39370078740157483" header="0" footer="0"/>
  <pageSetup scale="6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4" tint="0.59999389629810485"/>
    <pageSetUpPr fitToPage="1"/>
  </sheetPr>
  <dimension ref="B1:BA35"/>
  <sheetViews>
    <sheetView topLeftCell="Q1" zoomScale="85" zoomScaleNormal="85" workbookViewId="0">
      <selection activeCell="AZ15" sqref="AZ15"/>
    </sheetView>
  </sheetViews>
  <sheetFormatPr baseColWidth="10" defaultColWidth="11.44140625" defaultRowHeight="15" customHeight="1"/>
  <cols>
    <col min="1" max="1" width="2.6640625" style="10" customWidth="1"/>
    <col min="2" max="2" width="15.6640625" style="11" customWidth="1"/>
    <col min="3" max="3" width="8.88671875" style="10" customWidth="1"/>
    <col min="4" max="4" width="8.5546875" style="10" customWidth="1"/>
    <col min="5" max="5" width="9.109375" style="10" customWidth="1"/>
    <col min="6" max="26" width="9.44140625" style="10" customWidth="1"/>
    <col min="27" max="27" width="8.44140625" style="10" customWidth="1"/>
    <col min="28" max="28" width="8.6640625" style="10" customWidth="1"/>
    <col min="29" max="29" width="8.5546875" style="10" customWidth="1"/>
    <col min="30" max="49" width="9" style="10" customWidth="1"/>
    <col min="50" max="50" width="9.44140625" style="10" customWidth="1"/>
    <col min="51" max="51" width="8" style="10" customWidth="1"/>
    <col min="52" max="52" width="8.44140625" style="10" customWidth="1"/>
    <col min="53" max="53" width="9.33203125" style="10" customWidth="1"/>
    <col min="54" max="16384" width="11.44140625" style="10"/>
  </cols>
  <sheetData>
    <row r="1" spans="2:53" ht="15" customHeight="1">
      <c r="B1" s="678" t="s">
        <v>31</v>
      </c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8"/>
      <c r="Y1" s="678"/>
      <c r="Z1" s="678"/>
      <c r="AA1" s="678"/>
      <c r="AB1" s="678"/>
      <c r="AC1" s="678"/>
      <c r="AD1" s="678"/>
      <c r="AE1" s="678"/>
      <c r="AF1" s="678"/>
      <c r="AG1" s="678"/>
      <c r="AH1" s="678"/>
      <c r="AI1" s="678"/>
      <c r="AJ1" s="678"/>
      <c r="AK1" s="678"/>
      <c r="AL1" s="678"/>
      <c r="AM1" s="678"/>
      <c r="AN1" s="678"/>
      <c r="AO1" s="678"/>
      <c r="AP1" s="678"/>
      <c r="AQ1" s="678"/>
      <c r="AR1" s="678"/>
      <c r="AS1" s="678"/>
      <c r="AT1" s="678"/>
      <c r="AU1" s="678"/>
      <c r="AV1" s="678"/>
      <c r="AW1" s="678"/>
      <c r="AX1" s="678"/>
      <c r="AY1" s="11"/>
      <c r="AZ1" s="11"/>
      <c r="BA1" s="11"/>
    </row>
    <row r="2" spans="2:53" ht="15" customHeight="1">
      <c r="B2" s="678" t="s">
        <v>4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8"/>
      <c r="AB2" s="678"/>
      <c r="AC2" s="678"/>
      <c r="AD2" s="678"/>
      <c r="AE2" s="678"/>
      <c r="AF2" s="678"/>
      <c r="AG2" s="678"/>
      <c r="AH2" s="678"/>
      <c r="AI2" s="678"/>
      <c r="AJ2" s="678"/>
      <c r="AK2" s="678"/>
      <c r="AL2" s="678"/>
      <c r="AM2" s="678"/>
      <c r="AN2" s="678"/>
      <c r="AO2" s="678"/>
      <c r="AP2" s="678"/>
      <c r="AQ2" s="678"/>
      <c r="AR2" s="678"/>
      <c r="AS2" s="678"/>
      <c r="AT2" s="678"/>
      <c r="AU2" s="678"/>
      <c r="AV2" s="678"/>
      <c r="AW2" s="678"/>
      <c r="AX2" s="678"/>
      <c r="AY2" s="11"/>
      <c r="AZ2" s="11"/>
      <c r="BA2" s="11"/>
    </row>
    <row r="3" spans="2:53" ht="15" customHeight="1">
      <c r="B3" s="678" t="s">
        <v>354</v>
      </c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  <c r="P3" s="678"/>
      <c r="Q3" s="678"/>
      <c r="R3" s="678"/>
      <c r="S3" s="678"/>
      <c r="T3" s="678"/>
      <c r="U3" s="678"/>
      <c r="V3" s="678"/>
      <c r="W3" s="678"/>
      <c r="X3" s="678"/>
      <c r="Y3" s="678"/>
      <c r="Z3" s="678"/>
      <c r="AA3" s="678"/>
      <c r="AB3" s="678"/>
      <c r="AC3" s="678"/>
      <c r="AD3" s="678"/>
      <c r="AE3" s="678"/>
      <c r="AF3" s="678"/>
      <c r="AG3" s="678"/>
      <c r="AH3" s="678"/>
      <c r="AI3" s="678"/>
      <c r="AJ3" s="678"/>
      <c r="AK3" s="678"/>
      <c r="AL3" s="678"/>
      <c r="AM3" s="678"/>
      <c r="AN3" s="678"/>
      <c r="AO3" s="678"/>
      <c r="AP3" s="678"/>
      <c r="AQ3" s="678"/>
      <c r="AR3" s="678"/>
      <c r="AS3" s="678"/>
      <c r="AT3" s="678"/>
      <c r="AU3" s="678"/>
      <c r="AV3" s="678"/>
      <c r="AW3" s="678"/>
      <c r="AX3" s="678"/>
      <c r="AY3" s="11"/>
      <c r="AZ3" s="11"/>
      <c r="BA3" s="11"/>
    </row>
    <row r="4" spans="2:53" ht="15" customHeight="1" thickBot="1">
      <c r="B4" s="678" t="s">
        <v>39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678"/>
      <c r="N4" s="678"/>
      <c r="O4" s="678"/>
      <c r="P4" s="678"/>
      <c r="Q4" s="678"/>
      <c r="R4" s="678"/>
      <c r="S4" s="678"/>
      <c r="T4" s="678"/>
      <c r="U4" s="678"/>
      <c r="V4" s="678"/>
      <c r="W4" s="678"/>
      <c r="X4" s="678"/>
      <c r="Y4" s="678"/>
      <c r="Z4" s="678"/>
      <c r="AA4" s="678"/>
      <c r="AB4" s="678"/>
      <c r="AC4" s="678"/>
      <c r="AD4" s="678"/>
      <c r="AE4" s="678"/>
      <c r="AF4" s="678"/>
      <c r="AG4" s="678"/>
      <c r="AH4" s="678"/>
      <c r="AI4" s="678"/>
      <c r="AJ4" s="678"/>
      <c r="AK4" s="678"/>
      <c r="AL4" s="678"/>
      <c r="AM4" s="678"/>
      <c r="AN4" s="678"/>
      <c r="AO4" s="678"/>
      <c r="AP4" s="678"/>
      <c r="AQ4" s="678"/>
      <c r="AR4" s="678"/>
      <c r="AS4" s="678"/>
      <c r="AT4" s="678"/>
      <c r="AU4" s="678"/>
      <c r="AV4" s="678"/>
      <c r="AW4" s="678"/>
      <c r="AX4" s="678"/>
      <c r="AY4" s="11"/>
      <c r="AZ4" s="11"/>
      <c r="BA4" s="11"/>
    </row>
    <row r="5" spans="2:53" ht="24.9" customHeight="1">
      <c r="B5" s="696" t="s">
        <v>64</v>
      </c>
      <c r="C5" s="696" t="s">
        <v>71</v>
      </c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2"/>
      <c r="R5" s="702"/>
      <c r="S5" s="702"/>
      <c r="T5" s="702"/>
      <c r="U5" s="702"/>
      <c r="V5" s="702"/>
      <c r="W5" s="702"/>
      <c r="X5" s="702"/>
      <c r="Y5" s="702"/>
      <c r="Z5" s="703"/>
      <c r="AA5" s="696" t="s">
        <v>72</v>
      </c>
      <c r="AB5" s="702"/>
      <c r="AC5" s="702"/>
      <c r="AD5" s="702"/>
      <c r="AE5" s="702"/>
      <c r="AF5" s="702"/>
      <c r="AG5" s="702"/>
      <c r="AH5" s="702"/>
      <c r="AI5" s="702"/>
      <c r="AJ5" s="702"/>
      <c r="AK5" s="702"/>
      <c r="AL5" s="702"/>
      <c r="AM5" s="702"/>
      <c r="AN5" s="702"/>
      <c r="AO5" s="702"/>
      <c r="AP5" s="702"/>
      <c r="AQ5" s="702"/>
      <c r="AR5" s="702"/>
      <c r="AS5" s="702"/>
      <c r="AT5" s="702"/>
      <c r="AU5" s="702"/>
      <c r="AV5" s="702"/>
      <c r="AW5" s="702"/>
      <c r="AX5" s="703"/>
    </row>
    <row r="6" spans="2:53" ht="39.9" customHeight="1" thickBot="1">
      <c r="B6" s="697"/>
      <c r="C6" s="415">
        <v>1999</v>
      </c>
      <c r="D6" s="416">
        <v>2000</v>
      </c>
      <c r="E6" s="417">
        <v>2001</v>
      </c>
      <c r="F6" s="418">
        <v>2002</v>
      </c>
      <c r="G6" s="418">
        <v>2003</v>
      </c>
      <c r="H6" s="419">
        <v>2004</v>
      </c>
      <c r="I6" s="420">
        <v>2005</v>
      </c>
      <c r="J6" s="416">
        <v>2006</v>
      </c>
      <c r="K6" s="416">
        <v>2007</v>
      </c>
      <c r="L6" s="416">
        <v>2008</v>
      </c>
      <c r="M6" s="416">
        <v>2009</v>
      </c>
      <c r="N6" s="416">
        <v>2010</v>
      </c>
      <c r="O6" s="416">
        <v>2011</v>
      </c>
      <c r="P6" s="416">
        <v>2012</v>
      </c>
      <c r="Q6" s="416">
        <v>2013</v>
      </c>
      <c r="R6" s="416">
        <v>2014</v>
      </c>
      <c r="S6" s="494">
        <v>2015</v>
      </c>
      <c r="T6" s="494">
        <v>2016</v>
      </c>
      <c r="U6" s="494">
        <v>2017</v>
      </c>
      <c r="V6" s="494">
        <v>2018</v>
      </c>
      <c r="W6" s="494">
        <v>2019</v>
      </c>
      <c r="X6" s="494">
        <v>2020</v>
      </c>
      <c r="Y6" s="493">
        <v>2021</v>
      </c>
      <c r="Z6" s="486" t="s">
        <v>146</v>
      </c>
      <c r="AA6" s="418">
        <v>1999</v>
      </c>
      <c r="AB6" s="417">
        <v>2000</v>
      </c>
      <c r="AC6" s="416">
        <v>2001</v>
      </c>
      <c r="AD6" s="417">
        <v>2002</v>
      </c>
      <c r="AE6" s="416">
        <v>2003</v>
      </c>
      <c r="AF6" s="416">
        <v>2004</v>
      </c>
      <c r="AG6" s="416">
        <v>2005</v>
      </c>
      <c r="AH6" s="416">
        <v>2006</v>
      </c>
      <c r="AI6" s="416">
        <v>2007</v>
      </c>
      <c r="AJ6" s="416">
        <v>2008</v>
      </c>
      <c r="AK6" s="416">
        <v>2009</v>
      </c>
      <c r="AL6" s="416">
        <v>2010</v>
      </c>
      <c r="AM6" s="416">
        <v>2011</v>
      </c>
      <c r="AN6" s="416">
        <v>2012</v>
      </c>
      <c r="AO6" s="416">
        <v>2013</v>
      </c>
      <c r="AP6" s="416">
        <v>2014</v>
      </c>
      <c r="AQ6" s="416">
        <v>2015</v>
      </c>
      <c r="AR6" s="494">
        <v>2016</v>
      </c>
      <c r="AS6" s="416">
        <v>2017</v>
      </c>
      <c r="AT6" s="416">
        <v>2018</v>
      </c>
      <c r="AU6" s="416">
        <v>2019</v>
      </c>
      <c r="AV6" s="416">
        <v>2020</v>
      </c>
      <c r="AW6" s="546">
        <v>2021</v>
      </c>
      <c r="AX6" s="486" t="s">
        <v>146</v>
      </c>
    </row>
    <row r="7" spans="2:53" ht="24.9" customHeight="1">
      <c r="B7" s="421" t="s">
        <v>44</v>
      </c>
      <c r="C7" s="206">
        <v>334.14</v>
      </c>
      <c r="D7" s="207">
        <v>360.78</v>
      </c>
      <c r="E7" s="208">
        <v>374.8</v>
      </c>
      <c r="F7" s="209">
        <v>395.29</v>
      </c>
      <c r="G7" s="208">
        <v>402.59</v>
      </c>
      <c r="H7" s="208">
        <v>419.87</v>
      </c>
      <c r="I7" s="207">
        <v>433.39</v>
      </c>
      <c r="J7" s="207">
        <v>446.01</v>
      </c>
      <c r="K7" s="207">
        <v>480.51</v>
      </c>
      <c r="L7" s="207">
        <v>488.79</v>
      </c>
      <c r="M7" s="207">
        <v>510.2</v>
      </c>
      <c r="N7" s="460">
        <v>548.37</v>
      </c>
      <c r="O7" s="460">
        <v>562.86</v>
      </c>
      <c r="P7" s="495">
        <v>598.28</v>
      </c>
      <c r="Q7" s="496">
        <v>656.38</v>
      </c>
      <c r="R7" s="497">
        <v>679.97</v>
      </c>
      <c r="S7" s="498">
        <v>711.09</v>
      </c>
      <c r="T7" s="498">
        <v>743.29</v>
      </c>
      <c r="U7" s="498">
        <v>730.21</v>
      </c>
      <c r="V7" s="498">
        <v>843.87</v>
      </c>
      <c r="W7" s="498">
        <v>904.07</v>
      </c>
      <c r="X7" s="498">
        <v>794.61400000000003</v>
      </c>
      <c r="Y7" s="499">
        <v>669.78</v>
      </c>
      <c r="Z7" s="714">
        <f>RATE(21,,-C7,Y7)*100</f>
        <v>3.366813610271977</v>
      </c>
      <c r="AA7" s="209">
        <v>50.88</v>
      </c>
      <c r="AB7" s="208">
        <v>52.67</v>
      </c>
      <c r="AC7" s="207">
        <v>53.88</v>
      </c>
      <c r="AD7" s="208">
        <v>55.59</v>
      </c>
      <c r="AE7" s="207">
        <v>60.12</v>
      </c>
      <c r="AF7" s="207">
        <v>73.91</v>
      </c>
      <c r="AG7" s="207">
        <v>70.36</v>
      </c>
      <c r="AH7" s="207">
        <v>70.63</v>
      </c>
      <c r="AI7" s="207">
        <v>82.31</v>
      </c>
      <c r="AJ7" s="207">
        <v>78.75</v>
      </c>
      <c r="AK7" s="207">
        <v>81.17</v>
      </c>
      <c r="AL7" s="460">
        <v>83.34</v>
      </c>
      <c r="AM7" s="460">
        <v>92.63</v>
      </c>
      <c r="AN7" s="495">
        <v>97.07</v>
      </c>
      <c r="AO7" s="495">
        <v>109.03</v>
      </c>
      <c r="AP7" s="530">
        <v>116.16</v>
      </c>
      <c r="AQ7" s="531">
        <v>119.02</v>
      </c>
      <c r="AR7" s="531">
        <v>146</v>
      </c>
      <c r="AS7" s="531">
        <v>126.47</v>
      </c>
      <c r="AT7" s="531">
        <v>150.65</v>
      </c>
      <c r="AU7" s="531">
        <v>169.46</v>
      </c>
      <c r="AV7" s="531">
        <v>155.26</v>
      </c>
      <c r="AW7" s="713">
        <v>133.72</v>
      </c>
      <c r="AX7" s="487">
        <f>RATE(21,,-AA7,AW7)*100</f>
        <v>4.7088279425712791</v>
      </c>
    </row>
    <row r="8" spans="2:53" ht="24.9" customHeight="1">
      <c r="B8" s="383" t="s">
        <v>45</v>
      </c>
      <c r="C8" s="101">
        <v>355.27</v>
      </c>
      <c r="D8" s="193">
        <v>364.03</v>
      </c>
      <c r="E8" s="104">
        <v>387.26</v>
      </c>
      <c r="F8" s="210">
        <v>394.51</v>
      </c>
      <c r="G8" s="104">
        <v>410.23</v>
      </c>
      <c r="H8" s="104">
        <v>437.07</v>
      </c>
      <c r="I8" s="193">
        <v>433.03</v>
      </c>
      <c r="J8" s="193">
        <v>457.77</v>
      </c>
      <c r="K8" s="193">
        <v>491.15</v>
      </c>
      <c r="L8" s="193">
        <v>503.94</v>
      </c>
      <c r="M8" s="193">
        <v>522.08000000000004</v>
      </c>
      <c r="N8" s="461">
        <v>560</v>
      </c>
      <c r="O8" s="461">
        <v>589.49</v>
      </c>
      <c r="P8" s="500">
        <v>612.85</v>
      </c>
      <c r="Q8" s="501">
        <v>670.13</v>
      </c>
      <c r="R8" s="502">
        <v>688.39</v>
      </c>
      <c r="S8" s="502">
        <v>714.52</v>
      </c>
      <c r="T8" s="520">
        <v>756</v>
      </c>
      <c r="U8" s="520">
        <v>762.61</v>
      </c>
      <c r="V8" s="520">
        <v>835.02</v>
      </c>
      <c r="W8" s="520">
        <v>918.04</v>
      </c>
      <c r="X8" s="520">
        <v>787.66</v>
      </c>
      <c r="Y8" s="503">
        <v>716.12</v>
      </c>
      <c r="Z8" s="488">
        <f t="shared" ref="Z8:Z18" si="0">RATE(21,,-C8,Y8)*100</f>
        <v>3.3942855313896314</v>
      </c>
      <c r="AA8" s="210">
        <v>49.91</v>
      </c>
      <c r="AB8" s="104">
        <v>51.34</v>
      </c>
      <c r="AC8" s="193">
        <v>54.26</v>
      </c>
      <c r="AD8" s="104">
        <v>56.38</v>
      </c>
      <c r="AE8" s="193">
        <v>60.07</v>
      </c>
      <c r="AF8" s="193">
        <v>60.93</v>
      </c>
      <c r="AG8" s="193">
        <v>70.510000000000005</v>
      </c>
      <c r="AH8" s="193">
        <v>73.59</v>
      </c>
      <c r="AI8" s="193">
        <v>79.91</v>
      </c>
      <c r="AJ8" s="193">
        <v>79.459999999999994</v>
      </c>
      <c r="AK8" s="193">
        <v>78.25</v>
      </c>
      <c r="AL8" s="461">
        <v>86.42</v>
      </c>
      <c r="AM8" s="461">
        <v>97.68</v>
      </c>
      <c r="AN8" s="504">
        <v>101.62</v>
      </c>
      <c r="AO8" s="518">
        <v>107.97</v>
      </c>
      <c r="AP8" s="519">
        <v>117.7</v>
      </c>
      <c r="AQ8" s="520">
        <v>121.75</v>
      </c>
      <c r="AR8" s="520">
        <v>148.81</v>
      </c>
      <c r="AS8" s="520">
        <v>128.93</v>
      </c>
      <c r="AT8" s="520">
        <v>151.69999999999999</v>
      </c>
      <c r="AU8" s="520">
        <v>171.45</v>
      </c>
      <c r="AV8" s="520">
        <v>143.56</v>
      </c>
      <c r="AW8" s="503">
        <v>144.09</v>
      </c>
      <c r="AX8" s="488">
        <f>RATE(21,,-AA8,AW8)*100</f>
        <v>5.1782675255108499</v>
      </c>
    </row>
    <row r="9" spans="2:53" ht="24.9" customHeight="1">
      <c r="B9" s="383" t="s">
        <v>46</v>
      </c>
      <c r="C9" s="101">
        <v>359.36</v>
      </c>
      <c r="D9" s="193">
        <v>386.03</v>
      </c>
      <c r="E9" s="104">
        <v>397.68</v>
      </c>
      <c r="F9" s="210">
        <v>416.76</v>
      </c>
      <c r="G9" s="104">
        <v>411.36</v>
      </c>
      <c r="H9" s="104">
        <v>445.53</v>
      </c>
      <c r="I9" s="193">
        <v>456.26</v>
      </c>
      <c r="J9" s="193">
        <v>463.82</v>
      </c>
      <c r="K9" s="193">
        <v>495.88</v>
      </c>
      <c r="L9" s="193">
        <v>522.89</v>
      </c>
      <c r="M9" s="193">
        <v>525.70000000000005</v>
      </c>
      <c r="N9" s="461">
        <v>589.04</v>
      </c>
      <c r="O9" s="461">
        <v>609.19000000000005</v>
      </c>
      <c r="P9" s="504">
        <v>639.79999999999995</v>
      </c>
      <c r="Q9" s="504">
        <v>688.53</v>
      </c>
      <c r="R9" s="505">
        <v>700.89</v>
      </c>
      <c r="S9" s="505">
        <v>728.77</v>
      </c>
      <c r="T9" s="505">
        <v>773.13</v>
      </c>
      <c r="U9" s="505">
        <v>765.56</v>
      </c>
      <c r="V9" s="505">
        <v>898.14</v>
      </c>
      <c r="W9" s="505">
        <v>799.79</v>
      </c>
      <c r="X9" s="505">
        <v>790.07</v>
      </c>
      <c r="Y9" s="506">
        <v>777.46</v>
      </c>
      <c r="Z9" s="488">
        <f t="shared" si="0"/>
        <v>3.7431531640616007</v>
      </c>
      <c r="AA9" s="210">
        <v>51.35</v>
      </c>
      <c r="AB9" s="104">
        <v>54.79</v>
      </c>
      <c r="AC9" s="193">
        <v>57.44</v>
      </c>
      <c r="AD9" s="104">
        <v>61.32</v>
      </c>
      <c r="AE9" s="193">
        <v>61.76</v>
      </c>
      <c r="AF9" s="193">
        <v>72.05</v>
      </c>
      <c r="AG9" s="193">
        <v>74.930000000000007</v>
      </c>
      <c r="AH9" s="193">
        <v>75.540000000000006</v>
      </c>
      <c r="AI9" s="193">
        <v>74.25</v>
      </c>
      <c r="AJ9" s="193">
        <v>82.78</v>
      </c>
      <c r="AK9" s="193">
        <v>81.84</v>
      </c>
      <c r="AL9" s="461">
        <v>87.81</v>
      </c>
      <c r="AM9" s="461">
        <v>97.24</v>
      </c>
      <c r="AN9" s="504">
        <v>103.57</v>
      </c>
      <c r="AO9" s="518">
        <v>113.35</v>
      </c>
      <c r="AP9" s="519">
        <v>112.53</v>
      </c>
      <c r="AQ9" s="520">
        <v>125.51</v>
      </c>
      <c r="AR9" s="520">
        <v>147.07</v>
      </c>
      <c r="AS9" s="520">
        <v>134.38</v>
      </c>
      <c r="AT9" s="520">
        <v>151.24</v>
      </c>
      <c r="AU9" s="520">
        <v>156.96</v>
      </c>
      <c r="AV9" s="520">
        <v>149.47999999999999</v>
      </c>
      <c r="AW9" s="503">
        <v>141.15</v>
      </c>
      <c r="AX9" s="488">
        <f t="shared" ref="AX9:AX18" si="1">RATE(21,,-AA9,AW9)*100</f>
        <v>4.9328453379890291</v>
      </c>
    </row>
    <row r="10" spans="2:53" ht="24.9" customHeight="1">
      <c r="B10" s="383" t="s">
        <v>47</v>
      </c>
      <c r="C10" s="101">
        <v>369.67</v>
      </c>
      <c r="D10" s="193">
        <v>389.84</v>
      </c>
      <c r="E10" s="104">
        <v>400.76</v>
      </c>
      <c r="F10" s="210">
        <v>441.25</v>
      </c>
      <c r="G10" s="104">
        <v>439.35</v>
      </c>
      <c r="H10" s="104">
        <v>454.39</v>
      </c>
      <c r="I10" s="193">
        <v>466.76</v>
      </c>
      <c r="J10" s="193">
        <v>473.43</v>
      </c>
      <c r="K10" s="193">
        <v>509.15</v>
      </c>
      <c r="L10" s="193">
        <v>528.91999999999996</v>
      </c>
      <c r="M10" s="193">
        <v>554.53</v>
      </c>
      <c r="N10" s="461">
        <v>601.27</v>
      </c>
      <c r="O10" s="461">
        <v>605</v>
      </c>
      <c r="P10" s="504">
        <v>650.85</v>
      </c>
      <c r="Q10" s="504">
        <v>695.44</v>
      </c>
      <c r="R10" s="505">
        <v>702.65</v>
      </c>
      <c r="S10" s="505">
        <v>769.58</v>
      </c>
      <c r="T10" s="505">
        <v>798.31</v>
      </c>
      <c r="U10" s="505">
        <v>809.83</v>
      </c>
      <c r="V10" s="505">
        <v>898.29</v>
      </c>
      <c r="W10" s="505">
        <v>830.79</v>
      </c>
      <c r="X10" s="505">
        <v>566.74</v>
      </c>
      <c r="Y10" s="506">
        <v>764.63</v>
      </c>
      <c r="Z10" s="488">
        <f t="shared" si="0"/>
        <v>3.5214483087893371</v>
      </c>
      <c r="AA10" s="210">
        <v>55.35</v>
      </c>
      <c r="AB10" s="104">
        <v>55.29</v>
      </c>
      <c r="AC10" s="193">
        <v>56.87</v>
      </c>
      <c r="AD10" s="104">
        <v>60.35</v>
      </c>
      <c r="AE10" s="193">
        <v>63</v>
      </c>
      <c r="AF10" s="193">
        <v>70.44</v>
      </c>
      <c r="AG10" s="193">
        <v>73.98</v>
      </c>
      <c r="AH10" s="193">
        <v>74.33</v>
      </c>
      <c r="AI10" s="193">
        <v>77.12</v>
      </c>
      <c r="AJ10" s="193">
        <v>83.94</v>
      </c>
      <c r="AK10" s="193">
        <v>84.78</v>
      </c>
      <c r="AL10" s="461">
        <v>90.88</v>
      </c>
      <c r="AM10" s="461">
        <v>101.22</v>
      </c>
      <c r="AN10" s="504">
        <v>104.46</v>
      </c>
      <c r="AO10" s="518">
        <v>110.45</v>
      </c>
      <c r="AP10" s="519">
        <v>117.51</v>
      </c>
      <c r="AQ10" s="520">
        <v>129.33000000000001</v>
      </c>
      <c r="AR10" s="520">
        <v>144.27000000000001</v>
      </c>
      <c r="AS10" s="520">
        <v>135.52000000000001</v>
      </c>
      <c r="AT10" s="520">
        <v>139.24</v>
      </c>
      <c r="AU10" s="520">
        <v>153.68</v>
      </c>
      <c r="AV10" s="520">
        <v>138.78</v>
      </c>
      <c r="AW10" s="503">
        <v>146.94999999999999</v>
      </c>
      <c r="AX10" s="488">
        <f t="shared" si="1"/>
        <v>4.7593875400632575</v>
      </c>
    </row>
    <row r="11" spans="2:53" ht="24.9" customHeight="1">
      <c r="B11" s="383" t="s">
        <v>48</v>
      </c>
      <c r="C11" s="101">
        <v>368.95</v>
      </c>
      <c r="D11" s="193">
        <v>391.85</v>
      </c>
      <c r="E11" s="104">
        <v>398.49</v>
      </c>
      <c r="F11" s="210">
        <v>431.1</v>
      </c>
      <c r="G11" s="104">
        <v>432.05</v>
      </c>
      <c r="H11" s="104">
        <v>454.12</v>
      </c>
      <c r="I11" s="193">
        <v>454.83</v>
      </c>
      <c r="J11" s="193">
        <v>472.7</v>
      </c>
      <c r="K11" s="193">
        <v>494.39</v>
      </c>
      <c r="L11" s="193">
        <v>530.36</v>
      </c>
      <c r="M11" s="193">
        <v>543.47</v>
      </c>
      <c r="N11" s="461">
        <v>597.38</v>
      </c>
      <c r="O11" s="461">
        <v>626.72</v>
      </c>
      <c r="P11" s="504">
        <v>659.42</v>
      </c>
      <c r="Q11" s="507">
        <v>693.92</v>
      </c>
      <c r="R11" s="508">
        <v>660.91</v>
      </c>
      <c r="S11" s="508">
        <v>775.3</v>
      </c>
      <c r="T11" s="508">
        <v>786.31</v>
      </c>
      <c r="U11" s="508">
        <v>796.27</v>
      </c>
      <c r="V11" s="508">
        <v>876.35</v>
      </c>
      <c r="W11" s="508">
        <v>839.7</v>
      </c>
      <c r="X11" s="508">
        <v>616.01</v>
      </c>
      <c r="Y11" s="509">
        <v>786.01</v>
      </c>
      <c r="Z11" s="488">
        <f t="shared" si="0"/>
        <v>3.6671069722165059</v>
      </c>
      <c r="AA11" s="210">
        <v>49.86</v>
      </c>
      <c r="AB11" s="104">
        <v>52.87</v>
      </c>
      <c r="AC11" s="193">
        <v>56.19</v>
      </c>
      <c r="AD11" s="104">
        <v>59.74</v>
      </c>
      <c r="AE11" s="193">
        <v>59.98</v>
      </c>
      <c r="AF11" s="193">
        <v>70.72</v>
      </c>
      <c r="AG11" s="193">
        <v>71.48</v>
      </c>
      <c r="AH11" s="193">
        <v>75.94</v>
      </c>
      <c r="AI11" s="193">
        <v>76.069999999999993</v>
      </c>
      <c r="AJ11" s="193">
        <v>72.62</v>
      </c>
      <c r="AK11" s="193">
        <v>81.88</v>
      </c>
      <c r="AL11" s="461">
        <v>95.02</v>
      </c>
      <c r="AM11" s="461">
        <v>94.72</v>
      </c>
      <c r="AN11" s="504">
        <v>105</v>
      </c>
      <c r="AO11" s="518">
        <v>106</v>
      </c>
      <c r="AP11" s="519">
        <v>112.95</v>
      </c>
      <c r="AQ11" s="520">
        <v>125.85</v>
      </c>
      <c r="AR11" s="520">
        <v>134.47999999999999</v>
      </c>
      <c r="AS11" s="520">
        <v>128.61000000000001</v>
      </c>
      <c r="AT11" s="520">
        <v>149.55000000000001</v>
      </c>
      <c r="AU11" s="520">
        <v>148.57</v>
      </c>
      <c r="AV11" s="520">
        <v>139.53</v>
      </c>
      <c r="AW11" s="503">
        <v>155.12</v>
      </c>
      <c r="AX11" s="488">
        <f t="shared" si="1"/>
        <v>5.5533855876755194</v>
      </c>
    </row>
    <row r="12" spans="2:53" ht="24.9" customHeight="1">
      <c r="B12" s="383" t="s">
        <v>49</v>
      </c>
      <c r="C12" s="101">
        <v>369.04</v>
      </c>
      <c r="D12" s="193">
        <v>382.73</v>
      </c>
      <c r="E12" s="104">
        <v>401.1</v>
      </c>
      <c r="F12" s="210">
        <v>412.67</v>
      </c>
      <c r="G12" s="104">
        <v>417.7</v>
      </c>
      <c r="H12" s="104">
        <v>446.66</v>
      </c>
      <c r="I12" s="193">
        <v>456.15</v>
      </c>
      <c r="J12" s="193">
        <v>477.55</v>
      </c>
      <c r="K12" s="193">
        <v>498.61</v>
      </c>
      <c r="L12" s="193">
        <v>503.38</v>
      </c>
      <c r="M12" s="193">
        <v>539.72</v>
      </c>
      <c r="N12" s="461">
        <v>566.32000000000005</v>
      </c>
      <c r="O12" s="461">
        <v>614.04999999999995</v>
      </c>
      <c r="P12" s="504">
        <v>664.29</v>
      </c>
      <c r="Q12" s="504">
        <v>651.04999999999995</v>
      </c>
      <c r="R12" s="505">
        <v>694.22</v>
      </c>
      <c r="S12" s="505">
        <v>778.55</v>
      </c>
      <c r="T12" s="505">
        <v>762.18</v>
      </c>
      <c r="U12" s="505">
        <v>780.33</v>
      </c>
      <c r="V12" s="505">
        <v>850.08</v>
      </c>
      <c r="W12" s="505">
        <v>837.62</v>
      </c>
      <c r="X12" s="505">
        <v>622.78</v>
      </c>
      <c r="Y12" s="506">
        <v>755.42</v>
      </c>
      <c r="Z12" s="488">
        <f t="shared" si="0"/>
        <v>3.4701316759407375</v>
      </c>
      <c r="AA12" s="210">
        <v>47.56</v>
      </c>
      <c r="AB12" s="104">
        <v>52.47</v>
      </c>
      <c r="AC12" s="193">
        <v>55.45</v>
      </c>
      <c r="AD12" s="104">
        <v>55.29</v>
      </c>
      <c r="AE12" s="193">
        <v>57.79</v>
      </c>
      <c r="AF12" s="193">
        <v>67.08</v>
      </c>
      <c r="AG12" s="193">
        <v>71.540000000000006</v>
      </c>
      <c r="AH12" s="193">
        <v>72.77</v>
      </c>
      <c r="AI12" s="193">
        <v>75.19</v>
      </c>
      <c r="AJ12" s="193">
        <v>68.91</v>
      </c>
      <c r="AK12" s="193">
        <v>80.37</v>
      </c>
      <c r="AL12" s="461">
        <v>80.099999999999994</v>
      </c>
      <c r="AM12" s="461">
        <v>99.6</v>
      </c>
      <c r="AN12" s="504">
        <v>105.24</v>
      </c>
      <c r="AO12" s="507">
        <v>101.7</v>
      </c>
      <c r="AP12" s="532">
        <v>114.9</v>
      </c>
      <c r="AQ12" s="508">
        <v>130.25</v>
      </c>
      <c r="AR12" s="508">
        <v>131.24</v>
      </c>
      <c r="AS12" s="508">
        <v>119.36</v>
      </c>
      <c r="AT12" s="508">
        <v>123.33</v>
      </c>
      <c r="AU12" s="508">
        <v>151.78</v>
      </c>
      <c r="AV12" s="508">
        <v>142.61000000000001</v>
      </c>
      <c r="AW12" s="509">
        <v>150.27000000000001</v>
      </c>
      <c r="AX12" s="488">
        <f t="shared" si="1"/>
        <v>5.6311300027294786</v>
      </c>
    </row>
    <row r="13" spans="2:53" ht="24.9" customHeight="1">
      <c r="B13" s="383" t="s">
        <v>50</v>
      </c>
      <c r="C13" s="101">
        <v>369.04</v>
      </c>
      <c r="D13" s="193">
        <v>391.72</v>
      </c>
      <c r="E13" s="104">
        <v>403.19</v>
      </c>
      <c r="F13" s="210">
        <v>412.52</v>
      </c>
      <c r="G13" s="104">
        <v>420.05</v>
      </c>
      <c r="H13" s="104">
        <v>427.27</v>
      </c>
      <c r="I13" s="193">
        <v>462.38</v>
      </c>
      <c r="J13" s="193">
        <v>492.43</v>
      </c>
      <c r="K13" s="193">
        <v>506.28</v>
      </c>
      <c r="L13" s="193">
        <v>502.25</v>
      </c>
      <c r="M13" s="193">
        <v>545.26</v>
      </c>
      <c r="N13" s="461">
        <v>561.89</v>
      </c>
      <c r="O13" s="461">
        <v>603.21</v>
      </c>
      <c r="P13" s="504">
        <v>654.73</v>
      </c>
      <c r="Q13" s="504">
        <v>658.26</v>
      </c>
      <c r="R13" s="505">
        <v>712.12</v>
      </c>
      <c r="S13" s="505">
        <v>768.44</v>
      </c>
      <c r="T13" s="505">
        <v>730.8</v>
      </c>
      <c r="U13" s="505">
        <v>757.42</v>
      </c>
      <c r="V13" s="505">
        <v>864.53</v>
      </c>
      <c r="W13" s="505">
        <v>794.36</v>
      </c>
      <c r="X13" s="505">
        <v>630.61</v>
      </c>
      <c r="Y13" s="506">
        <v>781.66</v>
      </c>
      <c r="Z13" s="488">
        <f t="shared" si="0"/>
        <v>3.6385108537148882</v>
      </c>
      <c r="AA13" s="210">
        <v>47.09</v>
      </c>
      <c r="AB13" s="104">
        <v>52.6</v>
      </c>
      <c r="AC13" s="193">
        <v>55.04</v>
      </c>
      <c r="AD13" s="104">
        <v>55.41</v>
      </c>
      <c r="AE13" s="193">
        <v>57.13</v>
      </c>
      <c r="AF13" s="193">
        <v>66.430000000000007</v>
      </c>
      <c r="AG13" s="193">
        <v>67.75</v>
      </c>
      <c r="AH13" s="193">
        <v>72.02</v>
      </c>
      <c r="AI13" s="193">
        <v>75.510000000000005</v>
      </c>
      <c r="AJ13" s="193">
        <v>76.930000000000007</v>
      </c>
      <c r="AK13" s="193">
        <v>75.930000000000007</v>
      </c>
      <c r="AL13" s="461">
        <v>80.2</v>
      </c>
      <c r="AM13" s="461">
        <v>97.5</v>
      </c>
      <c r="AN13" s="504">
        <v>105.9</v>
      </c>
      <c r="AO13" s="504">
        <v>98.85</v>
      </c>
      <c r="AP13" s="521">
        <v>111.83</v>
      </c>
      <c r="AQ13" s="505">
        <v>129.33000000000001</v>
      </c>
      <c r="AR13" s="505">
        <v>128.72</v>
      </c>
      <c r="AS13" s="505">
        <v>136.4</v>
      </c>
      <c r="AT13" s="505">
        <v>150.72</v>
      </c>
      <c r="AU13" s="505">
        <v>149.53</v>
      </c>
      <c r="AV13" s="505">
        <v>144.57</v>
      </c>
      <c r="AW13" s="506">
        <v>155.85</v>
      </c>
      <c r="AX13" s="488">
        <f t="shared" si="1"/>
        <v>5.8647408847868299</v>
      </c>
    </row>
    <row r="14" spans="2:53" ht="24.9" customHeight="1">
      <c r="B14" s="383" t="s">
        <v>51</v>
      </c>
      <c r="C14" s="101">
        <v>362.6</v>
      </c>
      <c r="D14" s="193">
        <v>394.35</v>
      </c>
      <c r="E14" s="104">
        <v>412.81</v>
      </c>
      <c r="F14" s="210">
        <v>406.49</v>
      </c>
      <c r="G14" s="104">
        <v>427.92</v>
      </c>
      <c r="H14" s="104">
        <v>438.75</v>
      </c>
      <c r="I14" s="193">
        <v>458.71</v>
      </c>
      <c r="J14" s="193">
        <v>479.9</v>
      </c>
      <c r="K14" s="193">
        <v>486.13</v>
      </c>
      <c r="L14" s="193">
        <v>503.9</v>
      </c>
      <c r="M14" s="193">
        <v>548.75</v>
      </c>
      <c r="N14" s="461">
        <v>576.30999999999995</v>
      </c>
      <c r="O14" s="461">
        <v>609.91999999999996</v>
      </c>
      <c r="P14" s="504">
        <v>651.21</v>
      </c>
      <c r="Q14" s="504">
        <v>657.73</v>
      </c>
      <c r="R14" s="505">
        <v>702.22</v>
      </c>
      <c r="S14" s="505">
        <v>766.04</v>
      </c>
      <c r="T14" s="505">
        <v>773.92</v>
      </c>
      <c r="U14" s="505">
        <v>785.59</v>
      </c>
      <c r="V14" s="505">
        <v>779.48</v>
      </c>
      <c r="W14" s="505">
        <v>825.76</v>
      </c>
      <c r="X14" s="505">
        <v>633.03</v>
      </c>
      <c r="Y14" s="506">
        <v>758.46</v>
      </c>
      <c r="Z14" s="488">
        <f t="shared" si="0"/>
        <v>3.5767160151217006</v>
      </c>
      <c r="AA14" s="210">
        <v>48.85</v>
      </c>
      <c r="AB14" s="104">
        <v>54.25</v>
      </c>
      <c r="AC14" s="193">
        <v>54.41</v>
      </c>
      <c r="AD14" s="104">
        <v>56.77</v>
      </c>
      <c r="AE14" s="193">
        <v>58.89</v>
      </c>
      <c r="AF14" s="193">
        <v>68.209999999999994</v>
      </c>
      <c r="AG14" s="193">
        <v>69.66</v>
      </c>
      <c r="AH14" s="193">
        <v>73.5</v>
      </c>
      <c r="AI14" s="193">
        <v>75.89</v>
      </c>
      <c r="AJ14" s="193">
        <v>77.66</v>
      </c>
      <c r="AK14" s="193">
        <v>75.67</v>
      </c>
      <c r="AL14" s="461">
        <v>86.25</v>
      </c>
      <c r="AM14" s="461">
        <v>97.51</v>
      </c>
      <c r="AN14" s="504">
        <v>103.88</v>
      </c>
      <c r="AO14" s="507">
        <v>96.39</v>
      </c>
      <c r="AP14" s="532">
        <v>113.04</v>
      </c>
      <c r="AQ14" s="508">
        <v>137.12</v>
      </c>
      <c r="AR14" s="508">
        <v>123.15</v>
      </c>
      <c r="AS14" s="508">
        <v>130.58000000000001</v>
      </c>
      <c r="AT14" s="508">
        <v>144.37</v>
      </c>
      <c r="AU14" s="508">
        <v>154.16999999999999</v>
      </c>
      <c r="AV14" s="508">
        <v>140.16</v>
      </c>
      <c r="AW14" s="509">
        <v>160.41999999999999</v>
      </c>
      <c r="AX14" s="488">
        <f t="shared" si="1"/>
        <v>5.8254655755607887</v>
      </c>
    </row>
    <row r="15" spans="2:53" ht="24.9" customHeight="1">
      <c r="B15" s="383" t="s">
        <v>65</v>
      </c>
      <c r="C15" s="101">
        <v>366.71</v>
      </c>
      <c r="D15" s="193">
        <v>385.88</v>
      </c>
      <c r="E15" s="104">
        <v>394.24</v>
      </c>
      <c r="F15" s="210">
        <v>403.09</v>
      </c>
      <c r="G15" s="104">
        <v>432.71</v>
      </c>
      <c r="H15" s="104">
        <v>436</v>
      </c>
      <c r="I15" s="193">
        <v>456.31</v>
      </c>
      <c r="J15" s="193">
        <v>491.08</v>
      </c>
      <c r="K15" s="193">
        <v>503.98</v>
      </c>
      <c r="L15" s="193">
        <v>525.94000000000005</v>
      </c>
      <c r="M15" s="193">
        <v>567.38</v>
      </c>
      <c r="N15" s="461">
        <v>570.11</v>
      </c>
      <c r="O15" s="461">
        <v>619.33000000000004</v>
      </c>
      <c r="P15" s="504">
        <v>642.38</v>
      </c>
      <c r="Q15" s="504">
        <v>675.08</v>
      </c>
      <c r="R15" s="505">
        <v>711.42</v>
      </c>
      <c r="S15" s="505">
        <v>750.07</v>
      </c>
      <c r="T15" s="505">
        <v>744.2</v>
      </c>
      <c r="U15" s="505">
        <v>768.31</v>
      </c>
      <c r="V15" s="505">
        <v>963.65</v>
      </c>
      <c r="W15" s="505">
        <v>786.67</v>
      </c>
      <c r="X15" s="505">
        <v>662.34</v>
      </c>
      <c r="Y15" s="506">
        <v>757.87</v>
      </c>
      <c r="Z15" s="488">
        <f t="shared" si="0"/>
        <v>3.5173034970064796</v>
      </c>
      <c r="AA15" s="210">
        <v>48.78</v>
      </c>
      <c r="AB15" s="104">
        <v>52.7</v>
      </c>
      <c r="AC15" s="193">
        <v>54.33</v>
      </c>
      <c r="AD15" s="104">
        <v>54.33</v>
      </c>
      <c r="AE15" s="193">
        <v>58.33</v>
      </c>
      <c r="AF15" s="193">
        <v>67.5</v>
      </c>
      <c r="AG15" s="193">
        <v>71.459999999999994</v>
      </c>
      <c r="AH15" s="193">
        <v>76.81</v>
      </c>
      <c r="AI15" s="193">
        <v>78.209999999999994</v>
      </c>
      <c r="AJ15" s="193">
        <v>79.09</v>
      </c>
      <c r="AK15" s="193">
        <v>78.13</v>
      </c>
      <c r="AL15" s="461">
        <v>87.65</v>
      </c>
      <c r="AM15" s="461">
        <v>101.23</v>
      </c>
      <c r="AN15" s="504">
        <v>110.2</v>
      </c>
      <c r="AO15" s="504">
        <v>106.17</v>
      </c>
      <c r="AP15" s="521">
        <v>101.8</v>
      </c>
      <c r="AQ15" s="505">
        <v>130.62</v>
      </c>
      <c r="AR15" s="505">
        <v>136.13</v>
      </c>
      <c r="AS15" s="505">
        <v>130.36000000000001</v>
      </c>
      <c r="AT15" s="505">
        <v>162.4</v>
      </c>
      <c r="AU15" s="505">
        <v>155.43</v>
      </c>
      <c r="AV15" s="505">
        <v>148.33000000000001</v>
      </c>
      <c r="AW15" s="506">
        <v>160.68</v>
      </c>
      <c r="AX15" s="488">
        <f t="shared" si="1"/>
        <v>5.8408538138735633</v>
      </c>
    </row>
    <row r="16" spans="2:53" ht="24.9" customHeight="1">
      <c r="B16" s="383" t="s">
        <v>53</v>
      </c>
      <c r="C16" s="101">
        <v>361.85</v>
      </c>
      <c r="D16" s="193">
        <v>393.13</v>
      </c>
      <c r="E16" s="104">
        <v>390.86</v>
      </c>
      <c r="F16" s="210">
        <v>406.03</v>
      </c>
      <c r="G16" s="104">
        <v>420.71</v>
      </c>
      <c r="H16" s="104">
        <v>439.69</v>
      </c>
      <c r="I16" s="193">
        <v>443.22</v>
      </c>
      <c r="J16" s="193">
        <v>482.12</v>
      </c>
      <c r="K16" s="193">
        <v>499.43</v>
      </c>
      <c r="L16" s="193">
        <v>521.70000000000005</v>
      </c>
      <c r="M16" s="193">
        <v>559.24</v>
      </c>
      <c r="N16" s="461">
        <v>581.27</v>
      </c>
      <c r="O16" s="461">
        <v>611.05999999999995</v>
      </c>
      <c r="P16" s="500">
        <v>639.96</v>
      </c>
      <c r="Q16" s="510">
        <v>665.35</v>
      </c>
      <c r="R16" s="511">
        <v>707.42</v>
      </c>
      <c r="S16" s="508">
        <v>749.3</v>
      </c>
      <c r="T16" s="508">
        <v>744.91</v>
      </c>
      <c r="U16" s="508">
        <v>870.74</v>
      </c>
      <c r="V16" s="508">
        <v>814.69</v>
      </c>
      <c r="W16" s="508">
        <v>778.81</v>
      </c>
      <c r="X16" s="508">
        <v>696.15</v>
      </c>
      <c r="Y16" s="509">
        <v>763.38</v>
      </c>
      <c r="Z16" s="488">
        <f t="shared" si="0"/>
        <v>3.6188280976892431</v>
      </c>
      <c r="AA16" s="210">
        <v>49.14</v>
      </c>
      <c r="AB16" s="104">
        <v>52.78</v>
      </c>
      <c r="AC16" s="193">
        <v>53.97</v>
      </c>
      <c r="AD16" s="104">
        <v>55.79</v>
      </c>
      <c r="AE16" s="193">
        <v>64.239999999999995</v>
      </c>
      <c r="AF16" s="193">
        <v>66.599999999999994</v>
      </c>
      <c r="AG16" s="193">
        <v>67.569999999999993</v>
      </c>
      <c r="AH16" s="193">
        <v>78.19</v>
      </c>
      <c r="AI16" s="193">
        <v>78.09</v>
      </c>
      <c r="AJ16" s="193">
        <v>81.900000000000006</v>
      </c>
      <c r="AK16" s="193">
        <v>82.53</v>
      </c>
      <c r="AL16" s="461">
        <v>94.45</v>
      </c>
      <c r="AM16" s="461">
        <v>93.62</v>
      </c>
      <c r="AN16" s="504">
        <v>107.73</v>
      </c>
      <c r="AO16" s="504">
        <v>106.77</v>
      </c>
      <c r="AP16" s="521">
        <v>116.99</v>
      </c>
      <c r="AQ16" s="505">
        <v>133.13</v>
      </c>
      <c r="AR16" s="505">
        <v>139.05000000000001</v>
      </c>
      <c r="AS16" s="505">
        <v>144.66</v>
      </c>
      <c r="AT16" s="505">
        <v>147.68</v>
      </c>
      <c r="AU16" s="505">
        <v>156.97</v>
      </c>
      <c r="AV16" s="505">
        <v>148.54</v>
      </c>
      <c r="AW16" s="506">
        <v>160.5</v>
      </c>
      <c r="AX16" s="488">
        <f t="shared" si="1"/>
        <v>5.7981539255174708</v>
      </c>
    </row>
    <row r="17" spans="2:53" ht="24.9" customHeight="1">
      <c r="B17" s="383" t="s">
        <v>54</v>
      </c>
      <c r="C17" s="101">
        <v>363.06</v>
      </c>
      <c r="D17" s="193">
        <v>387.74</v>
      </c>
      <c r="E17" s="104">
        <v>392.8</v>
      </c>
      <c r="F17" s="211">
        <v>411.83</v>
      </c>
      <c r="G17" s="212">
        <v>433.47</v>
      </c>
      <c r="H17" s="212">
        <v>436.42</v>
      </c>
      <c r="I17" s="220">
        <v>450.13</v>
      </c>
      <c r="J17" s="220">
        <v>475.99</v>
      </c>
      <c r="K17" s="220">
        <v>503.21</v>
      </c>
      <c r="L17" s="220">
        <v>519.66</v>
      </c>
      <c r="M17" s="220">
        <v>537</v>
      </c>
      <c r="N17" s="463">
        <v>552.32000000000005</v>
      </c>
      <c r="O17" s="463">
        <v>585.23</v>
      </c>
      <c r="P17" s="504">
        <v>633.79999999999995</v>
      </c>
      <c r="Q17" s="507">
        <v>663.09</v>
      </c>
      <c r="R17" s="508">
        <v>738.41</v>
      </c>
      <c r="S17" s="508">
        <v>738.74</v>
      </c>
      <c r="T17" s="508">
        <v>717.27</v>
      </c>
      <c r="U17" s="508">
        <v>834.48</v>
      </c>
      <c r="V17" s="508">
        <v>818.11</v>
      </c>
      <c r="W17" s="508">
        <v>824.56</v>
      </c>
      <c r="X17" s="508">
        <v>688.88</v>
      </c>
      <c r="Y17" s="509">
        <v>735.93</v>
      </c>
      <c r="Z17" s="488">
        <f t="shared" si="0"/>
        <v>3.4218472708383767</v>
      </c>
      <c r="AA17" s="210">
        <v>49.18</v>
      </c>
      <c r="AB17" s="104">
        <v>52.69</v>
      </c>
      <c r="AC17" s="193">
        <v>54.41</v>
      </c>
      <c r="AD17" s="104">
        <v>55.99</v>
      </c>
      <c r="AE17" s="193">
        <v>68.150000000000006</v>
      </c>
      <c r="AF17" s="193">
        <v>68.47</v>
      </c>
      <c r="AG17" s="193">
        <v>71.37</v>
      </c>
      <c r="AH17" s="193">
        <v>77.3</v>
      </c>
      <c r="AI17" s="193">
        <v>81.41</v>
      </c>
      <c r="AJ17" s="193">
        <v>77.66</v>
      </c>
      <c r="AK17" s="193">
        <v>83.35</v>
      </c>
      <c r="AL17" s="461">
        <v>88.28</v>
      </c>
      <c r="AM17" s="461">
        <v>98.93</v>
      </c>
      <c r="AN17" s="504">
        <v>98.89</v>
      </c>
      <c r="AO17" s="507">
        <v>110.34</v>
      </c>
      <c r="AP17" s="532">
        <v>111.16</v>
      </c>
      <c r="AQ17" s="508">
        <v>131.96</v>
      </c>
      <c r="AR17" s="508">
        <v>122.92</v>
      </c>
      <c r="AS17" s="508">
        <v>133.17400000000001</v>
      </c>
      <c r="AT17" s="508">
        <v>149.16</v>
      </c>
      <c r="AU17" s="508">
        <v>153.19999999999999</v>
      </c>
      <c r="AV17" s="508">
        <v>148.83000000000001</v>
      </c>
      <c r="AW17" s="509">
        <v>153.75</v>
      </c>
      <c r="AX17" s="488">
        <f t="shared" si="1"/>
        <v>5.5778211948875338</v>
      </c>
    </row>
    <row r="18" spans="2:53" ht="24.9" customHeight="1" thickBot="1">
      <c r="B18" s="385" t="s">
        <v>55</v>
      </c>
      <c r="C18" s="102">
        <v>364.46</v>
      </c>
      <c r="D18" s="194">
        <v>389.52</v>
      </c>
      <c r="E18" s="105">
        <v>387.33</v>
      </c>
      <c r="F18" s="213">
        <v>413.29</v>
      </c>
      <c r="G18" s="105">
        <v>431.31</v>
      </c>
      <c r="H18" s="105">
        <v>437.11</v>
      </c>
      <c r="I18" s="194">
        <v>454.3</v>
      </c>
      <c r="J18" s="194">
        <v>475.23</v>
      </c>
      <c r="K18" s="194">
        <v>503.5</v>
      </c>
      <c r="L18" s="194">
        <v>523.48</v>
      </c>
      <c r="M18" s="194">
        <v>565.98</v>
      </c>
      <c r="N18" s="462">
        <v>527.42999999999995</v>
      </c>
      <c r="O18" s="462">
        <v>588.48</v>
      </c>
      <c r="P18" s="512">
        <v>658.47</v>
      </c>
      <c r="Q18" s="513">
        <v>673.1</v>
      </c>
      <c r="R18" s="514">
        <v>722.17</v>
      </c>
      <c r="S18" s="514">
        <v>761.93</v>
      </c>
      <c r="T18" s="514">
        <v>730.7</v>
      </c>
      <c r="U18" s="514">
        <v>834.88</v>
      </c>
      <c r="V18" s="514">
        <v>976.43</v>
      </c>
      <c r="W18" s="514">
        <v>781.09</v>
      </c>
      <c r="X18" s="514">
        <v>755.42</v>
      </c>
      <c r="Y18" s="515">
        <v>755.42</v>
      </c>
      <c r="Z18" s="489">
        <f t="shared" si="0"/>
        <v>3.5316813624358763</v>
      </c>
      <c r="AA18" s="213">
        <v>55.97</v>
      </c>
      <c r="AB18" s="105">
        <v>58.07</v>
      </c>
      <c r="AC18" s="194">
        <v>60.1</v>
      </c>
      <c r="AD18" s="105">
        <v>62.39</v>
      </c>
      <c r="AE18" s="194">
        <v>77.319999999999993</v>
      </c>
      <c r="AF18" s="194">
        <v>77.75</v>
      </c>
      <c r="AG18" s="194">
        <v>78.08</v>
      </c>
      <c r="AH18" s="194">
        <v>83.86</v>
      </c>
      <c r="AI18" s="194">
        <v>80.099999999999994</v>
      </c>
      <c r="AJ18" s="194">
        <v>84.01</v>
      </c>
      <c r="AK18" s="194">
        <v>85.28</v>
      </c>
      <c r="AL18" s="462">
        <v>80.959999999999994</v>
      </c>
      <c r="AM18" s="462">
        <v>101.16</v>
      </c>
      <c r="AN18" s="512">
        <v>104.33</v>
      </c>
      <c r="AO18" s="512">
        <v>114.81</v>
      </c>
      <c r="AP18" s="527">
        <v>120.25</v>
      </c>
      <c r="AQ18" s="528">
        <v>146.78</v>
      </c>
      <c r="AR18" s="528">
        <v>127.34</v>
      </c>
      <c r="AS18" s="528">
        <v>147.65</v>
      </c>
      <c r="AT18" s="528">
        <v>151.83000000000001</v>
      </c>
      <c r="AU18" s="528">
        <v>156.81</v>
      </c>
      <c r="AV18" s="528">
        <v>150.27000000000001</v>
      </c>
      <c r="AW18" s="529">
        <v>150.27000000000001</v>
      </c>
      <c r="AX18" s="489">
        <f t="shared" si="1"/>
        <v>4.8152846437451702</v>
      </c>
    </row>
    <row r="19" spans="2:53" ht="15" customHeight="1" thickBot="1"/>
    <row r="20" spans="2:53" ht="24.9" customHeight="1">
      <c r="B20" s="696" t="s">
        <v>64</v>
      </c>
      <c r="C20" s="698" t="s">
        <v>300</v>
      </c>
      <c r="D20" s="699"/>
      <c r="E20" s="699"/>
      <c r="F20" s="699"/>
      <c r="G20" s="700"/>
      <c r="H20" s="700"/>
      <c r="I20" s="700"/>
      <c r="J20" s="700"/>
      <c r="K20" s="700"/>
      <c r="L20" s="700"/>
      <c r="M20" s="700"/>
      <c r="N20" s="700"/>
      <c r="O20" s="700"/>
      <c r="P20" s="700"/>
      <c r="Q20" s="700"/>
      <c r="R20" s="700"/>
      <c r="S20" s="700"/>
      <c r="T20" s="700"/>
      <c r="U20" s="700"/>
      <c r="V20" s="700"/>
      <c r="W20" s="700"/>
      <c r="X20" s="700"/>
      <c r="Y20" s="700"/>
      <c r="Z20" s="70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</row>
    <row r="21" spans="2:53" ht="39.9" customHeight="1" thickBot="1">
      <c r="B21" s="697"/>
      <c r="C21" s="415">
        <v>1999</v>
      </c>
      <c r="D21" s="417">
        <v>2000</v>
      </c>
      <c r="E21" s="417">
        <v>2001</v>
      </c>
      <c r="F21" s="417">
        <v>2002</v>
      </c>
      <c r="G21" s="416">
        <v>2003</v>
      </c>
      <c r="H21" s="416">
        <v>2004</v>
      </c>
      <c r="I21" s="416">
        <v>2005</v>
      </c>
      <c r="J21" s="416">
        <v>2006</v>
      </c>
      <c r="K21" s="416">
        <v>2007</v>
      </c>
      <c r="L21" s="416">
        <v>2008</v>
      </c>
      <c r="M21" s="416">
        <v>2009</v>
      </c>
      <c r="N21" s="416">
        <v>2010</v>
      </c>
      <c r="O21" s="416">
        <v>2011</v>
      </c>
      <c r="P21" s="416">
        <v>2012</v>
      </c>
      <c r="Q21" s="416">
        <v>2013</v>
      </c>
      <c r="R21" s="416">
        <v>2014</v>
      </c>
      <c r="S21" s="416">
        <v>2015</v>
      </c>
      <c r="T21" s="494">
        <v>2016</v>
      </c>
      <c r="U21" s="494">
        <v>2017</v>
      </c>
      <c r="V21" s="494">
        <v>2018</v>
      </c>
      <c r="W21" s="416">
        <v>2019</v>
      </c>
      <c r="X21" s="416">
        <v>2020</v>
      </c>
      <c r="Y21" s="546">
        <v>2021</v>
      </c>
      <c r="Z21" s="486" t="s">
        <v>175</v>
      </c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135"/>
      <c r="AZ21" s="85"/>
      <c r="BA21" s="135"/>
    </row>
    <row r="22" spans="2:53" ht="24.9" customHeight="1">
      <c r="B22" s="421" t="s">
        <v>44</v>
      </c>
      <c r="C22" s="206">
        <v>274.58999999999997</v>
      </c>
      <c r="D22" s="208">
        <v>279.3</v>
      </c>
      <c r="E22" s="208">
        <v>282.32</v>
      </c>
      <c r="F22" s="208">
        <v>287.23</v>
      </c>
      <c r="G22" s="207">
        <v>292.77999999999997</v>
      </c>
      <c r="H22" s="207">
        <v>304.32</v>
      </c>
      <c r="I22" s="207">
        <v>311.48</v>
      </c>
      <c r="J22" s="207">
        <v>331.09</v>
      </c>
      <c r="K22" s="207">
        <v>356.47</v>
      </c>
      <c r="L22" s="207">
        <v>370.48</v>
      </c>
      <c r="M22" s="207">
        <v>381.34</v>
      </c>
      <c r="N22" s="460">
        <v>398.61</v>
      </c>
      <c r="O22" s="460">
        <v>408.48</v>
      </c>
      <c r="P22" s="495">
        <v>437.53</v>
      </c>
      <c r="Q22" s="496">
        <v>476.49</v>
      </c>
      <c r="R22" s="516">
        <v>490</v>
      </c>
      <c r="S22" s="497">
        <v>515.42999999999995</v>
      </c>
      <c r="T22" s="497">
        <v>551.91999999999996</v>
      </c>
      <c r="U22" s="497">
        <v>559.37</v>
      </c>
      <c r="V22" s="497">
        <v>655.71</v>
      </c>
      <c r="W22" s="497">
        <v>674.83</v>
      </c>
      <c r="X22" s="497">
        <v>604.22</v>
      </c>
      <c r="Y22" s="517">
        <v>559.04</v>
      </c>
      <c r="Z22" s="714">
        <f>RATE(21,,-C22,Y22)*100</f>
        <v>3.4433960056086543</v>
      </c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</row>
    <row r="23" spans="2:53" ht="24.9" customHeight="1">
      <c r="B23" s="383" t="s">
        <v>45</v>
      </c>
      <c r="C23" s="101">
        <v>267.62</v>
      </c>
      <c r="D23" s="104">
        <v>282.73</v>
      </c>
      <c r="E23" s="104">
        <v>284.58</v>
      </c>
      <c r="F23" s="104">
        <v>287.20999999999998</v>
      </c>
      <c r="G23" s="193">
        <v>301.05</v>
      </c>
      <c r="H23" s="193">
        <v>318.24</v>
      </c>
      <c r="I23" s="193">
        <v>314.08999999999997</v>
      </c>
      <c r="J23" s="193">
        <v>338.96</v>
      </c>
      <c r="K23" s="193">
        <v>363.65</v>
      </c>
      <c r="L23" s="193">
        <v>374.38</v>
      </c>
      <c r="M23" s="193">
        <v>385.58</v>
      </c>
      <c r="N23" s="461">
        <v>410.09</v>
      </c>
      <c r="O23" s="461">
        <v>423.44</v>
      </c>
      <c r="P23" s="504">
        <v>447.62</v>
      </c>
      <c r="Q23" s="518">
        <v>488.62</v>
      </c>
      <c r="R23" s="519">
        <v>494.25</v>
      </c>
      <c r="S23" s="520">
        <v>535.32000000000005</v>
      </c>
      <c r="T23" s="520">
        <v>556.25</v>
      </c>
      <c r="U23" s="520">
        <v>576.70000000000005</v>
      </c>
      <c r="V23" s="520">
        <v>650.6</v>
      </c>
      <c r="W23" s="520">
        <v>681.56</v>
      </c>
      <c r="X23" s="520">
        <v>591.33000000000004</v>
      </c>
      <c r="Y23" s="503">
        <v>571.58000000000004</v>
      </c>
      <c r="Z23" s="488">
        <f t="shared" ref="Z23:Z33" si="2">RATE(21,,-C23,Y23)*100</f>
        <v>3.6795873206580834</v>
      </c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</row>
    <row r="24" spans="2:53" ht="24.9" customHeight="1">
      <c r="B24" s="383" t="s">
        <v>46</v>
      </c>
      <c r="C24" s="101">
        <v>284.45999999999998</v>
      </c>
      <c r="D24" s="104">
        <v>290.44</v>
      </c>
      <c r="E24" s="104">
        <v>293.39999999999998</v>
      </c>
      <c r="F24" s="104">
        <v>297.69</v>
      </c>
      <c r="G24" s="193">
        <v>308.37</v>
      </c>
      <c r="H24" s="193">
        <v>313.19</v>
      </c>
      <c r="I24" s="193">
        <v>327.69</v>
      </c>
      <c r="J24" s="193">
        <v>330.72</v>
      </c>
      <c r="K24" s="193">
        <v>368.47</v>
      </c>
      <c r="L24" s="193">
        <v>380.01</v>
      </c>
      <c r="M24" s="193">
        <v>395.13</v>
      </c>
      <c r="N24" s="461">
        <v>425.99</v>
      </c>
      <c r="O24" s="461">
        <v>441.43</v>
      </c>
      <c r="P24" s="504">
        <v>464.97</v>
      </c>
      <c r="Q24" s="504">
        <v>485.23</v>
      </c>
      <c r="R24" s="521">
        <v>505.15</v>
      </c>
      <c r="S24" s="505">
        <v>537.33000000000004</v>
      </c>
      <c r="T24" s="505">
        <v>569.25</v>
      </c>
      <c r="U24" s="505">
        <v>588.64</v>
      </c>
      <c r="V24" s="505">
        <v>676.58</v>
      </c>
      <c r="W24" s="505">
        <v>597.41999999999996</v>
      </c>
      <c r="X24" s="505">
        <v>607.63</v>
      </c>
      <c r="Y24" s="506">
        <v>614.92999999999995</v>
      </c>
      <c r="Z24" s="488">
        <f t="shared" si="2"/>
        <v>3.739241971793033</v>
      </c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</row>
    <row r="25" spans="2:53" ht="24.9" customHeight="1">
      <c r="B25" s="383" t="s">
        <v>47</v>
      </c>
      <c r="C25" s="101">
        <v>272.36</v>
      </c>
      <c r="D25" s="104">
        <v>294.81</v>
      </c>
      <c r="E25" s="104">
        <v>293.67</v>
      </c>
      <c r="F25" s="104">
        <v>300.23</v>
      </c>
      <c r="G25" s="193">
        <v>318.61</v>
      </c>
      <c r="H25" s="193">
        <v>322.83</v>
      </c>
      <c r="I25" s="193">
        <v>327.69</v>
      </c>
      <c r="J25" s="193">
        <v>345.44</v>
      </c>
      <c r="K25" s="193">
        <v>375.57</v>
      </c>
      <c r="L25" s="193">
        <v>386.53</v>
      </c>
      <c r="M25" s="193">
        <v>410.11</v>
      </c>
      <c r="N25" s="461">
        <v>429.77</v>
      </c>
      <c r="O25" s="461">
        <v>439.92</v>
      </c>
      <c r="P25" s="504">
        <v>467.12</v>
      </c>
      <c r="Q25" s="518">
        <v>501.29</v>
      </c>
      <c r="R25" s="519">
        <v>507.87</v>
      </c>
      <c r="S25" s="520">
        <v>565.33000000000004</v>
      </c>
      <c r="T25" s="520">
        <v>579.19000000000005</v>
      </c>
      <c r="U25" s="520">
        <v>600.35</v>
      </c>
      <c r="V25" s="520">
        <v>671.96</v>
      </c>
      <c r="W25" s="520">
        <v>640.65</v>
      </c>
      <c r="X25" s="520">
        <v>490.72</v>
      </c>
      <c r="Y25" s="503">
        <v>610.76</v>
      </c>
      <c r="Z25" s="488">
        <f t="shared" si="2"/>
        <v>3.9205168738917142</v>
      </c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</row>
    <row r="26" spans="2:53" ht="24.9" customHeight="1">
      <c r="B26" s="383" t="s">
        <v>48</v>
      </c>
      <c r="C26" s="101">
        <v>295.49</v>
      </c>
      <c r="D26" s="104">
        <v>295.92</v>
      </c>
      <c r="E26" s="104">
        <v>294.48</v>
      </c>
      <c r="F26" s="104">
        <v>312.41000000000003</v>
      </c>
      <c r="G26" s="193">
        <v>315.99</v>
      </c>
      <c r="H26" s="193">
        <v>322.97000000000003</v>
      </c>
      <c r="I26" s="193">
        <v>345.24</v>
      </c>
      <c r="J26" s="193">
        <v>351.08</v>
      </c>
      <c r="K26" s="193">
        <v>369.01</v>
      </c>
      <c r="L26" s="193">
        <v>394.87</v>
      </c>
      <c r="M26" s="193">
        <v>425.71</v>
      </c>
      <c r="N26" s="461">
        <v>439.29</v>
      </c>
      <c r="O26" s="461">
        <v>459.31</v>
      </c>
      <c r="P26" s="504">
        <v>478.26</v>
      </c>
      <c r="Q26" s="504">
        <v>498.88</v>
      </c>
      <c r="R26" s="521">
        <v>488.11</v>
      </c>
      <c r="S26" s="505">
        <v>568.84</v>
      </c>
      <c r="T26" s="505">
        <v>578.57000000000005</v>
      </c>
      <c r="U26" s="505">
        <v>600.91999999999996</v>
      </c>
      <c r="V26" s="505">
        <v>663.21</v>
      </c>
      <c r="W26" s="505">
        <v>637.88</v>
      </c>
      <c r="X26" s="505">
        <v>524.20000000000005</v>
      </c>
      <c r="Y26" s="506">
        <v>628.66999999999996</v>
      </c>
      <c r="Z26" s="488">
        <f t="shared" si="2"/>
        <v>3.6605075364134181</v>
      </c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</row>
    <row r="27" spans="2:53" ht="24.9" customHeight="1">
      <c r="B27" s="383" t="s">
        <v>49</v>
      </c>
      <c r="C27" s="101">
        <v>281.69</v>
      </c>
      <c r="D27" s="104">
        <v>296.47000000000003</v>
      </c>
      <c r="E27" s="104">
        <v>297.97000000000003</v>
      </c>
      <c r="F27" s="104">
        <v>302.95</v>
      </c>
      <c r="G27" s="193">
        <v>305.04000000000002</v>
      </c>
      <c r="H27" s="193">
        <v>315.02999999999997</v>
      </c>
      <c r="I27" s="193">
        <v>326.86</v>
      </c>
      <c r="J27" s="193">
        <v>355.6</v>
      </c>
      <c r="K27" s="193">
        <v>370.22</v>
      </c>
      <c r="L27" s="193">
        <v>373.58</v>
      </c>
      <c r="M27" s="193">
        <v>415.79</v>
      </c>
      <c r="N27" s="461">
        <v>423.95</v>
      </c>
      <c r="O27" s="461">
        <v>444.54</v>
      </c>
      <c r="P27" s="504">
        <v>487.15</v>
      </c>
      <c r="Q27" s="504">
        <v>478.72</v>
      </c>
      <c r="R27" s="521">
        <v>508.84</v>
      </c>
      <c r="S27" s="505">
        <v>554.82000000000005</v>
      </c>
      <c r="T27" s="505">
        <v>573.47</v>
      </c>
      <c r="U27" s="505">
        <v>604.82000000000005</v>
      </c>
      <c r="V27" s="505">
        <v>614.91999999999996</v>
      </c>
      <c r="W27" s="505">
        <v>644.88</v>
      </c>
      <c r="X27" s="505">
        <v>539.74</v>
      </c>
      <c r="Y27" s="506">
        <v>615.97</v>
      </c>
      <c r="Z27" s="488">
        <f t="shared" si="2"/>
        <v>3.7959449886454091</v>
      </c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</row>
    <row r="28" spans="2:53" ht="24.9" customHeight="1">
      <c r="B28" s="383" t="s">
        <v>50</v>
      </c>
      <c r="C28" s="101">
        <v>278.52</v>
      </c>
      <c r="D28" s="104">
        <v>312.49</v>
      </c>
      <c r="E28" s="104">
        <v>298.63</v>
      </c>
      <c r="F28" s="104">
        <v>300.12</v>
      </c>
      <c r="G28" s="193">
        <v>309.31</v>
      </c>
      <c r="H28" s="193">
        <v>307.06</v>
      </c>
      <c r="I28" s="193">
        <v>341.04</v>
      </c>
      <c r="J28" s="193">
        <v>354.75</v>
      </c>
      <c r="K28" s="193">
        <v>373.82</v>
      </c>
      <c r="L28" s="193">
        <v>374.16</v>
      </c>
      <c r="M28" s="193">
        <v>409.57</v>
      </c>
      <c r="N28" s="461">
        <v>432.61</v>
      </c>
      <c r="O28" s="461">
        <v>441.82</v>
      </c>
      <c r="P28" s="504">
        <v>471.96</v>
      </c>
      <c r="Q28" s="518">
        <v>497.78</v>
      </c>
      <c r="R28" s="519">
        <v>525.49</v>
      </c>
      <c r="S28" s="520">
        <v>573.24</v>
      </c>
      <c r="T28" s="520">
        <v>566.26</v>
      </c>
      <c r="U28" s="520">
        <v>593.9</v>
      </c>
      <c r="V28" s="520">
        <v>659.29</v>
      </c>
      <c r="W28" s="520">
        <v>628.91</v>
      </c>
      <c r="X28" s="520">
        <v>530.84</v>
      </c>
      <c r="Y28" s="503">
        <v>644.1</v>
      </c>
      <c r="Z28" s="488">
        <f t="shared" si="2"/>
        <v>4.0729699354867916</v>
      </c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</row>
    <row r="29" spans="2:53" ht="24.9" customHeight="1">
      <c r="B29" s="383" t="s">
        <v>51</v>
      </c>
      <c r="C29" s="101">
        <v>288.2</v>
      </c>
      <c r="D29" s="104">
        <v>314.83</v>
      </c>
      <c r="E29" s="104">
        <v>295.58999999999997</v>
      </c>
      <c r="F29" s="104">
        <v>296.32</v>
      </c>
      <c r="G29" s="193">
        <v>307.51</v>
      </c>
      <c r="H29" s="193">
        <v>314.97000000000003</v>
      </c>
      <c r="I29" s="193">
        <v>335.87</v>
      </c>
      <c r="J29" s="193">
        <v>357.83</v>
      </c>
      <c r="K29" s="193">
        <v>363.23</v>
      </c>
      <c r="L29" s="193">
        <v>379.03</v>
      </c>
      <c r="M29" s="193">
        <v>412.89</v>
      </c>
      <c r="N29" s="461">
        <v>416.1</v>
      </c>
      <c r="O29" s="461">
        <v>448.86</v>
      </c>
      <c r="P29" s="500">
        <v>469.26</v>
      </c>
      <c r="Q29" s="501">
        <v>486.13</v>
      </c>
      <c r="R29" s="522">
        <v>516.59</v>
      </c>
      <c r="S29" s="502">
        <v>564.96</v>
      </c>
      <c r="T29" s="502">
        <v>578.79</v>
      </c>
      <c r="U29" s="502">
        <v>588.91</v>
      </c>
      <c r="V29" s="502">
        <v>595.09</v>
      </c>
      <c r="W29" s="502">
        <v>639.22</v>
      </c>
      <c r="X29" s="502">
        <v>523.99</v>
      </c>
      <c r="Y29" s="523">
        <v>622.58000000000004</v>
      </c>
      <c r="Z29" s="488">
        <f t="shared" si="2"/>
        <v>3.7357922375926416</v>
      </c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</row>
    <row r="30" spans="2:53" ht="24.9" customHeight="1">
      <c r="B30" s="383" t="s">
        <v>65</v>
      </c>
      <c r="C30" s="101">
        <v>283.13</v>
      </c>
      <c r="D30" s="104">
        <v>294.95</v>
      </c>
      <c r="E30" s="104">
        <v>289.13</v>
      </c>
      <c r="F30" s="104">
        <v>298.52</v>
      </c>
      <c r="G30" s="193">
        <v>317.60000000000002</v>
      </c>
      <c r="H30" s="193">
        <v>315.36</v>
      </c>
      <c r="I30" s="193">
        <v>337.64</v>
      </c>
      <c r="J30" s="193">
        <v>361.86</v>
      </c>
      <c r="K30" s="193">
        <v>370.57</v>
      </c>
      <c r="L30" s="193">
        <v>393.95</v>
      </c>
      <c r="M30" s="193">
        <v>414.12</v>
      </c>
      <c r="N30" s="461">
        <v>417.14</v>
      </c>
      <c r="O30" s="461">
        <v>460.41</v>
      </c>
      <c r="P30" s="504">
        <v>462.1</v>
      </c>
      <c r="Q30" s="504">
        <v>494.05</v>
      </c>
      <c r="R30" s="521">
        <v>527.33000000000004</v>
      </c>
      <c r="S30" s="505">
        <v>543.86</v>
      </c>
      <c r="T30" s="505">
        <v>572.27</v>
      </c>
      <c r="U30" s="505">
        <v>594.4</v>
      </c>
      <c r="V30" s="505">
        <v>718.89</v>
      </c>
      <c r="W30" s="505">
        <v>613.91</v>
      </c>
      <c r="X30" s="505">
        <v>545.23</v>
      </c>
      <c r="Y30" s="506">
        <v>612.78</v>
      </c>
      <c r="Z30" s="488">
        <f t="shared" si="2"/>
        <v>3.7450912053295973</v>
      </c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</row>
    <row r="31" spans="2:53" ht="24.9" customHeight="1">
      <c r="B31" s="383" t="s">
        <v>53</v>
      </c>
      <c r="C31" s="101">
        <v>286.75</v>
      </c>
      <c r="D31" s="104">
        <v>299.41000000000003</v>
      </c>
      <c r="E31" s="104">
        <v>289.19</v>
      </c>
      <c r="F31" s="104">
        <v>302.87</v>
      </c>
      <c r="G31" s="193">
        <v>305.79000000000002</v>
      </c>
      <c r="H31" s="193">
        <v>333.23</v>
      </c>
      <c r="I31" s="193">
        <v>329.56</v>
      </c>
      <c r="J31" s="193">
        <v>361.79</v>
      </c>
      <c r="K31" s="193">
        <v>375.36</v>
      </c>
      <c r="L31" s="193">
        <v>392.39</v>
      </c>
      <c r="M31" s="193">
        <v>410.31</v>
      </c>
      <c r="N31" s="461">
        <v>418.28</v>
      </c>
      <c r="O31" s="461">
        <v>448.43</v>
      </c>
      <c r="P31" s="500">
        <v>458.03</v>
      </c>
      <c r="Q31" s="504">
        <v>488.9</v>
      </c>
      <c r="R31" s="521">
        <v>525.77</v>
      </c>
      <c r="S31" s="505">
        <v>549.16</v>
      </c>
      <c r="T31" s="505">
        <v>608.45000000000005</v>
      </c>
      <c r="U31" s="505">
        <v>664.72</v>
      </c>
      <c r="V31" s="505">
        <v>621.83000000000004</v>
      </c>
      <c r="W31" s="505">
        <v>610.03</v>
      </c>
      <c r="X31" s="505">
        <v>568.78</v>
      </c>
      <c r="Y31" s="506">
        <v>613.12</v>
      </c>
      <c r="Z31" s="488">
        <f t="shared" si="2"/>
        <v>3.6850850877350654</v>
      </c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</row>
    <row r="32" spans="2:53" ht="24.9" customHeight="1">
      <c r="B32" s="383" t="s">
        <v>54</v>
      </c>
      <c r="C32" s="101">
        <v>275.77999999999997</v>
      </c>
      <c r="D32" s="104">
        <v>295.83999999999997</v>
      </c>
      <c r="E32" s="104">
        <v>290.58999999999997</v>
      </c>
      <c r="F32" s="104">
        <v>298.98</v>
      </c>
      <c r="G32" s="193">
        <v>309.16000000000003</v>
      </c>
      <c r="H32" s="193">
        <v>316.18</v>
      </c>
      <c r="I32" s="193">
        <v>323.12</v>
      </c>
      <c r="J32" s="193">
        <v>356.99</v>
      </c>
      <c r="K32" s="193">
        <v>369.32</v>
      </c>
      <c r="L32" s="193">
        <v>383.14</v>
      </c>
      <c r="M32" s="193">
        <v>404.27</v>
      </c>
      <c r="N32" s="461">
        <v>406.18</v>
      </c>
      <c r="O32" s="461">
        <v>455.13</v>
      </c>
      <c r="P32" s="500">
        <v>460.66</v>
      </c>
      <c r="Q32" s="510">
        <v>487.53</v>
      </c>
      <c r="R32" s="524">
        <v>510.23</v>
      </c>
      <c r="S32" s="511">
        <v>551.98</v>
      </c>
      <c r="T32" s="511">
        <v>544.37</v>
      </c>
      <c r="U32" s="511">
        <v>626.5</v>
      </c>
      <c r="V32" s="511">
        <v>617.42999999999995</v>
      </c>
      <c r="W32" s="511">
        <v>628.85</v>
      </c>
      <c r="X32" s="511">
        <v>562.9</v>
      </c>
      <c r="Y32" s="525">
        <v>619.46</v>
      </c>
      <c r="Z32" s="488">
        <f t="shared" si="2"/>
        <v>3.9287582048840477</v>
      </c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</row>
    <row r="33" spans="2:53" ht="24.9" customHeight="1" thickBot="1">
      <c r="B33" s="385" t="s">
        <v>55</v>
      </c>
      <c r="C33" s="102">
        <v>288.67</v>
      </c>
      <c r="D33" s="105">
        <v>300.04000000000002</v>
      </c>
      <c r="E33" s="105">
        <v>289.02</v>
      </c>
      <c r="F33" s="105">
        <v>304.12</v>
      </c>
      <c r="G33" s="194">
        <v>321.69</v>
      </c>
      <c r="H33" s="194">
        <v>319.22000000000003</v>
      </c>
      <c r="I33" s="194">
        <v>325.52999999999997</v>
      </c>
      <c r="J33" s="194">
        <v>360.18</v>
      </c>
      <c r="K33" s="194">
        <v>375.99</v>
      </c>
      <c r="L33" s="194">
        <v>385.89</v>
      </c>
      <c r="M33" s="194">
        <v>419.95</v>
      </c>
      <c r="N33" s="462">
        <v>393.95</v>
      </c>
      <c r="O33" s="462">
        <v>485.75</v>
      </c>
      <c r="P33" s="526">
        <v>474.02</v>
      </c>
      <c r="Q33" s="512">
        <v>493</v>
      </c>
      <c r="R33" s="527">
        <v>524.53</v>
      </c>
      <c r="S33" s="528">
        <v>574.37</v>
      </c>
      <c r="T33" s="528">
        <v>561.66999999999996</v>
      </c>
      <c r="U33" s="528">
        <v>663.36</v>
      </c>
      <c r="V33" s="528">
        <v>673.6</v>
      </c>
      <c r="W33" s="528">
        <v>603.34</v>
      </c>
      <c r="X33" s="528">
        <v>615.97</v>
      </c>
      <c r="Y33" s="529">
        <v>615.97</v>
      </c>
      <c r="Z33" s="489">
        <f t="shared" si="2"/>
        <v>3.6750339208730201</v>
      </c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</row>
    <row r="34" spans="2:53" s="3" customFormat="1" ht="15" customHeight="1"/>
    <row r="35" spans="2:53" ht="15" customHeight="1">
      <c r="B35" s="2" t="s">
        <v>73</v>
      </c>
    </row>
  </sheetData>
  <mergeCells count="9">
    <mergeCell ref="B1:AX1"/>
    <mergeCell ref="B2:AX2"/>
    <mergeCell ref="B3:AX3"/>
    <mergeCell ref="B20:B21"/>
    <mergeCell ref="B5:B6"/>
    <mergeCell ref="B4:AX4"/>
    <mergeCell ref="C20:Z20"/>
    <mergeCell ref="C5:Z5"/>
    <mergeCell ref="AA5:AX5"/>
  </mergeCells>
  <phoneticPr fontId="0" type="noConversion"/>
  <printOptions horizontalCentered="1"/>
  <pageMargins left="0.78740157480314965" right="0.39370078740157483" top="0.39370078740157483" bottom="0.78740157480314965" header="0" footer="0"/>
  <pageSetup scale="2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G-MM-1 PreProEneMerOca,99-21</vt:lpstr>
      <vt:lpstr>G-MM-2 PreMonCon&amp;MerOca,98-10</vt:lpstr>
      <vt:lpstr>G-MM-3 IntEneCenAme,99-21</vt:lpstr>
      <vt:lpstr>G-MM-4 TDisAjuTSemVsTIrhe,98-10</vt:lpstr>
      <vt:lpstr>C-MM-1 EnerGene y Cons, 21</vt:lpstr>
      <vt:lpstr>C-MM-2 IntercEner,99-21</vt:lpstr>
      <vt:lpstr>C-MM-3 VenMenEnerElecSis,80-21</vt:lpstr>
      <vt:lpstr>C-MM-4 DemMaxMenSis,80-21</vt:lpstr>
      <vt:lpstr>C-MM-5 DemMaxMenXEmpDist,99-21</vt:lpstr>
      <vt:lpstr>C-MM-6 PreMerSpot,99-21</vt:lpstr>
    </vt:vector>
  </TitlesOfParts>
  <Company>Ministerio de Economia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de Política Energética</dc:creator>
  <cp:lastModifiedBy>Usuario de Windows</cp:lastModifiedBy>
  <cp:lastPrinted>2010-04-08T15:02:33Z</cp:lastPrinted>
  <dcterms:created xsi:type="dcterms:W3CDTF">2001-07-10T17:11:59Z</dcterms:created>
  <dcterms:modified xsi:type="dcterms:W3CDTF">2022-10-30T02:51:07Z</dcterms:modified>
</cp:coreProperties>
</file>