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 G\Desktop\Compendio Estadístico 2021\"/>
    </mc:Choice>
  </mc:AlternateContent>
  <bookViews>
    <workbookView xWindow="4812" yWindow="468" windowWidth="15960" windowHeight="13692" firstSheet="1" activeTab="3"/>
  </bookViews>
  <sheets>
    <sheet name="G-SH-1 ImpPetr,96-02" sheetId="152" r:id="rId1"/>
    <sheet name="G-SH-3 EstCosBarrPetrImp,96-02" sheetId="119" r:id="rId2"/>
    <sheet name="G-SH-2 ValCIFBarrPetrImp,96-02" sheetId="151" r:id="rId3"/>
    <sheet name="G-SH-4 ConsNacDerPetr,96-21" sheetId="120" r:id="rId4"/>
    <sheet name="G-SH-5 PreParProMen,00-21" sheetId="5" r:id="rId5"/>
    <sheet name="G-SH-6 CoUtTRvsSEl,21" sheetId="155" r:id="rId6"/>
    <sheet name="G-SH7 PreProCombCentAmer,15-20" sheetId="162" r:id="rId7"/>
    <sheet name="C-SH-1 ZonLibPetr,17" sheetId="96" r:id="rId8"/>
    <sheet name="C-SH-2A ImpPet,V&amp;CXBarr,96-98" sheetId="97" r:id="rId9"/>
    <sheet name="C-SH-2B ImpPet,V&amp;CXBarr,99-01" sheetId="153" r:id="rId10"/>
    <sheet name="C-SH-2C ImpPet,V&amp;CXBarr,02" sheetId="154" r:id="rId11"/>
    <sheet name="C-SH-3 ZLibPet,Refp&amp;Petr,95-21" sheetId="98" r:id="rId12"/>
    <sheet name="C-SH-4A ConsNacDerPet,99-21" sheetId="99" r:id="rId13"/>
    <sheet name="C-SH-4B ConsNacDerPet99-21" sheetId="156" r:id="rId14"/>
    <sheet name="C-SH-5A ConsCombSectGob,99-21" sheetId="100" r:id="rId15"/>
    <sheet name="C-SH-5B ConsCombSectGob,99-21" sheetId="157" r:id="rId16"/>
    <sheet name="C-SH-6A ConsCombFloPesq,04-21" sheetId="101" r:id="rId17"/>
    <sheet name="C-SH-6B ConsCombFloPesq,04-21" sheetId="158" r:id="rId18"/>
    <sheet name="C-SH-7A VenCombustbEstSer,99-21" sheetId="102" r:id="rId19"/>
    <sheet name="C-SH-7B VenComb&amp;LubEstSer,99-21" sheetId="159" r:id="rId20"/>
    <sheet name="C-SH-8A ComPrParGas&amp;DLiv,99-21" sheetId="103" r:id="rId21"/>
    <sheet name="C-SH-8B ComPrParGas&amp;DLiv,99-21" sheetId="160" r:id="rId22"/>
    <sheet name="C-SH-9 ComPrGas&amp;DieEstSer,01-21" sheetId="104" r:id="rId23"/>
    <sheet name="C-SH-10 SubGasLiq&amp;PrPar,99-21" sheetId="161" r:id="rId24"/>
    <sheet name="C-SH-11 PrPmMenGas&amp;DieCA,09-20" sheetId="106" r:id="rId25"/>
    <sheet name="Hoja1" sheetId="163" r:id="rId26"/>
  </sheets>
  <externalReferences>
    <externalReference r:id="rId27"/>
  </externalReferences>
  <definedNames>
    <definedName name="_xlnm.Print_Area" localSheetId="24">'C-SH-11 PrPmMenGas&amp;DieCA,09-20'!$B$90:$H$217</definedName>
    <definedName name="_xlnm.Print_Area" localSheetId="8">'C-SH-2A ImpPet,V&amp;CXBarr,96-98'!$B$1:$G$77</definedName>
    <definedName name="_xlnm.Print_Area" localSheetId="12">'C-SH-4A ConsNacDerPet,99-21'!$B$1:$I$266</definedName>
    <definedName name="_xlnm.Print_Area" localSheetId="14">'C-SH-5A ConsCombSectGob,99-21'!$B$1:$AH$81</definedName>
    <definedName name="_xlnm.Print_Area" localSheetId="18">'C-SH-7A VenCombustbEstSer,99-21'!$B$1:$AD$81</definedName>
    <definedName name="_xlnm.Print_Area" localSheetId="20">'C-SH-8A ComPrParGas&amp;DLiv,99-21'!$B$1:$M$60</definedName>
    <definedName name="_xlnm.Print_Area" localSheetId="22">'C-SH-9 ComPrGas&amp;DieEstSer,01-21'!$B$1:$L$70</definedName>
  </definedNames>
  <calcPr calcId="152511" calcOnSave="0"/>
</workbook>
</file>

<file path=xl/calcChain.xml><?xml version="1.0" encoding="utf-8"?>
<calcChain xmlns="http://schemas.openxmlformats.org/spreadsheetml/2006/main">
  <c r="AG34" i="5" l="1"/>
  <c r="AH34" i="5"/>
  <c r="T33" i="120" l="1"/>
  <c r="Z44" i="160"/>
  <c r="Z45" i="160"/>
  <c r="Z46" i="160"/>
  <c r="Z47" i="160"/>
  <c r="Z48" i="160"/>
  <c r="Z49" i="160"/>
  <c r="Z50" i="160"/>
  <c r="Z51" i="160"/>
  <c r="Z52" i="160"/>
  <c r="Z53" i="160"/>
  <c r="Z54" i="160"/>
  <c r="Z55" i="160"/>
  <c r="Z57" i="160"/>
  <c r="Z26" i="160"/>
  <c r="Z27" i="160"/>
  <c r="Z28" i="160"/>
  <c r="Z29" i="160"/>
  <c r="Z30" i="160"/>
  <c r="Z31" i="160"/>
  <c r="Z32" i="160"/>
  <c r="Z33" i="160"/>
  <c r="Z34" i="160"/>
  <c r="Z35" i="160"/>
  <c r="Z36" i="160"/>
  <c r="Z37" i="160"/>
  <c r="Z39" i="160"/>
  <c r="Z8" i="160"/>
  <c r="Z9" i="160"/>
  <c r="Z10" i="160"/>
  <c r="Z11" i="160"/>
  <c r="Z12" i="160"/>
  <c r="Z13" i="160"/>
  <c r="Z14" i="160"/>
  <c r="Z15" i="160"/>
  <c r="Z16" i="160"/>
  <c r="Z17" i="160"/>
  <c r="Z18" i="160"/>
  <c r="Z19" i="160"/>
  <c r="Z21" i="160"/>
  <c r="Z78" i="159" l="1"/>
  <c r="Z76" i="159"/>
  <c r="Z75" i="159"/>
  <c r="Z74" i="159"/>
  <c r="Z73" i="159"/>
  <c r="Z71" i="159"/>
  <c r="Z70" i="159"/>
  <c r="Z69" i="159"/>
  <c r="Z68" i="159"/>
  <c r="Z66" i="159"/>
  <c r="Z65" i="159"/>
  <c r="Z64" i="159"/>
  <c r="Z63" i="159"/>
  <c r="Z61" i="159"/>
  <c r="Z60" i="159"/>
  <c r="Z59" i="159"/>
  <c r="Z58" i="159"/>
  <c r="Z53" i="159"/>
  <c r="Z51" i="159"/>
  <c r="Z50" i="159"/>
  <c r="Z49" i="159"/>
  <c r="Z48" i="159"/>
  <c r="Z46" i="159"/>
  <c r="Z45" i="159"/>
  <c r="Z44" i="159"/>
  <c r="Z43" i="159"/>
  <c r="Z41" i="159"/>
  <c r="Z40" i="159"/>
  <c r="Z39" i="159"/>
  <c r="Z38" i="159"/>
  <c r="Z36" i="159"/>
  <c r="Z35" i="159"/>
  <c r="Z34" i="159"/>
  <c r="Z33" i="159"/>
  <c r="Z28" i="159"/>
  <c r="Z26" i="159"/>
  <c r="Z25" i="159"/>
  <c r="Z24" i="159"/>
  <c r="Z23" i="159"/>
  <c r="Z21" i="159"/>
  <c r="Z20" i="159"/>
  <c r="Z19" i="159"/>
  <c r="Z18" i="159"/>
  <c r="Z16" i="159"/>
  <c r="Z15" i="159"/>
  <c r="Z14" i="159"/>
  <c r="Z13" i="159"/>
  <c r="Z11" i="159"/>
  <c r="Z10" i="159"/>
  <c r="Z9" i="159"/>
  <c r="Z8" i="159"/>
  <c r="Y58" i="159"/>
  <c r="Y61" i="159" s="1"/>
  <c r="Y59" i="159"/>
  <c r="Y60" i="159"/>
  <c r="Y63" i="159"/>
  <c r="Y66" i="159" s="1"/>
  <c r="Y64" i="159"/>
  <c r="Y65" i="159"/>
  <c r="Y68" i="159"/>
  <c r="Y71" i="159" s="1"/>
  <c r="Y69" i="159"/>
  <c r="Y70" i="159"/>
  <c r="Y73" i="159"/>
  <c r="Y76" i="159" s="1"/>
  <c r="Y74" i="159"/>
  <c r="Y75" i="159"/>
  <c r="Y33" i="159"/>
  <c r="Y34" i="159"/>
  <c r="Y36" i="159" s="1"/>
  <c r="Y53" i="159" s="1"/>
  <c r="Y35" i="159"/>
  <c r="Y38" i="159"/>
  <c r="Y39" i="159"/>
  <c r="Y40" i="159"/>
  <c r="Y41" i="159"/>
  <c r="Y43" i="159"/>
  <c r="Y44" i="159"/>
  <c r="Y45" i="159"/>
  <c r="Y46" i="159"/>
  <c r="Y48" i="159"/>
  <c r="Y49" i="159"/>
  <c r="Y50" i="159"/>
  <c r="Y51" i="159"/>
  <c r="Y8" i="159"/>
  <c r="Y9" i="159"/>
  <c r="Y10" i="159"/>
  <c r="Y11" i="159"/>
  <c r="Y28" i="159" s="1"/>
  <c r="Y13" i="159"/>
  <c r="Y14" i="159"/>
  <c r="Y15" i="159"/>
  <c r="Y16" i="159"/>
  <c r="Y18" i="159"/>
  <c r="Y19" i="159"/>
  <c r="Y20" i="159"/>
  <c r="Y21" i="159"/>
  <c r="Y23" i="159"/>
  <c r="Y24" i="159"/>
  <c r="Y25" i="159"/>
  <c r="Y26" i="159"/>
  <c r="Y78" i="159" l="1"/>
  <c r="Z78" i="102"/>
  <c r="Z76" i="102"/>
  <c r="Z75" i="102"/>
  <c r="Z74" i="102"/>
  <c r="Z73" i="102"/>
  <c r="Z71" i="102"/>
  <c r="Z70" i="102"/>
  <c r="Z69" i="102"/>
  <c r="Z68" i="102"/>
  <c r="Z66" i="102"/>
  <c r="Z65" i="102"/>
  <c r="Z64" i="102"/>
  <c r="Z63" i="102"/>
  <c r="Z61" i="102"/>
  <c r="Z60" i="102"/>
  <c r="Z59" i="102"/>
  <c r="Z58" i="102"/>
  <c r="Z53" i="102"/>
  <c r="Z51" i="102"/>
  <c r="Z50" i="102"/>
  <c r="Z49" i="102"/>
  <c r="Z48" i="102"/>
  <c r="Z46" i="102"/>
  <c r="Z45" i="102"/>
  <c r="Z44" i="102"/>
  <c r="Z43" i="102"/>
  <c r="Z41" i="102"/>
  <c r="Z40" i="102"/>
  <c r="Z39" i="102"/>
  <c r="Z38" i="102"/>
  <c r="Z36" i="102"/>
  <c r="Z35" i="102"/>
  <c r="Z34" i="102"/>
  <c r="Z33" i="102"/>
  <c r="Z28" i="102"/>
  <c r="Z26" i="102"/>
  <c r="Z25" i="102"/>
  <c r="Z24" i="102"/>
  <c r="Z23" i="102"/>
  <c r="Z21" i="102"/>
  <c r="Z20" i="102"/>
  <c r="Z19" i="102"/>
  <c r="Z18" i="102"/>
  <c r="Z16" i="102"/>
  <c r="Z15" i="102"/>
  <c r="Z14" i="102"/>
  <c r="Z13" i="102"/>
  <c r="Z9" i="102"/>
  <c r="Z10" i="102"/>
  <c r="Z11" i="102"/>
  <c r="Z8" i="102"/>
  <c r="Z78" i="157"/>
  <c r="Z76" i="157"/>
  <c r="Z75" i="157"/>
  <c r="Z74" i="157"/>
  <c r="Z73" i="157"/>
  <c r="Z71" i="157"/>
  <c r="Z70" i="157"/>
  <c r="Z69" i="157"/>
  <c r="Z68" i="157"/>
  <c r="Z66" i="157"/>
  <c r="Z65" i="157"/>
  <c r="Z64" i="157"/>
  <c r="Z63" i="157"/>
  <c r="Z61" i="157"/>
  <c r="Z60" i="157"/>
  <c r="Z59" i="157"/>
  <c r="Z58" i="157"/>
  <c r="Z53" i="157"/>
  <c r="Z51" i="157"/>
  <c r="Z50" i="157"/>
  <c r="Z49" i="157"/>
  <c r="Z48" i="157"/>
  <c r="Z46" i="157"/>
  <c r="Z45" i="157"/>
  <c r="Z44" i="157"/>
  <c r="Z43" i="157"/>
  <c r="Z41" i="157"/>
  <c r="Z40" i="157"/>
  <c r="Z39" i="157"/>
  <c r="Z38" i="157"/>
  <c r="Z36" i="157"/>
  <c r="Z35" i="157"/>
  <c r="Z34" i="157"/>
  <c r="Z33" i="157"/>
  <c r="Z28" i="157"/>
  <c r="Z26" i="157"/>
  <c r="Z25" i="157"/>
  <c r="Z24" i="157"/>
  <c r="Z23" i="157"/>
  <c r="Z21" i="157"/>
  <c r="Z20" i="157"/>
  <c r="Z19" i="157"/>
  <c r="Z18" i="157"/>
  <c r="Z16" i="157"/>
  <c r="Z15" i="157"/>
  <c r="Z14" i="157"/>
  <c r="Z13" i="157"/>
  <c r="Z9" i="157"/>
  <c r="Z10" i="157"/>
  <c r="Z11" i="157"/>
  <c r="Z8" i="157"/>
  <c r="Z78" i="100"/>
  <c r="Z76" i="100"/>
  <c r="Z75" i="100"/>
  <c r="Z74" i="100"/>
  <c r="Z73" i="100"/>
  <c r="Z71" i="100"/>
  <c r="Z70" i="100"/>
  <c r="Z69" i="100"/>
  <c r="Z68" i="100"/>
  <c r="Z66" i="100"/>
  <c r="Z65" i="100"/>
  <c r="Z64" i="100"/>
  <c r="Z63" i="100"/>
  <c r="Z61" i="100"/>
  <c r="Z60" i="100"/>
  <c r="Z59" i="100"/>
  <c r="Z58" i="100"/>
  <c r="Z53" i="100"/>
  <c r="Z51" i="100"/>
  <c r="Z50" i="100"/>
  <c r="Z49" i="100"/>
  <c r="Z48" i="100"/>
  <c r="Z46" i="100"/>
  <c r="Z45" i="100"/>
  <c r="Z44" i="100"/>
  <c r="Z43" i="100"/>
  <c r="Z41" i="100"/>
  <c r="Z40" i="100"/>
  <c r="Z39" i="100"/>
  <c r="Z38" i="100"/>
  <c r="Z36" i="100"/>
  <c r="Z35" i="100"/>
  <c r="Z34" i="100"/>
  <c r="Z33" i="100"/>
  <c r="Z28" i="100"/>
  <c r="Z26" i="100"/>
  <c r="Z25" i="100"/>
  <c r="Z24" i="100"/>
  <c r="Z23" i="100"/>
  <c r="Z21" i="100"/>
  <c r="Z20" i="100"/>
  <c r="Z19" i="100"/>
  <c r="Z18" i="100"/>
  <c r="Z16" i="100"/>
  <c r="Z15" i="100"/>
  <c r="Z14" i="100"/>
  <c r="Z13" i="100"/>
  <c r="Z9" i="100"/>
  <c r="Z10" i="100"/>
  <c r="Z11" i="100"/>
  <c r="Z8" i="100"/>
  <c r="Y78" i="102"/>
  <c r="Y76" i="102"/>
  <c r="Y71" i="102"/>
  <c r="Y66" i="102"/>
  <c r="Y61" i="102"/>
  <c r="Y36" i="102"/>
  <c r="Y41" i="102"/>
  <c r="Y51" i="102"/>
  <c r="Y46" i="102"/>
  <c r="Y53" i="102"/>
  <c r="Y11" i="102"/>
  <c r="Y16" i="102"/>
  <c r="Y21" i="102"/>
  <c r="Y26" i="102"/>
  <c r="Y28" i="102"/>
  <c r="Y58" i="157"/>
  <c r="Y59" i="157"/>
  <c r="Y60" i="157"/>
  <c r="Y61" i="157"/>
  <c r="Y78" i="157" s="1"/>
  <c r="Y63" i="157"/>
  <c r="Y64" i="157"/>
  <c r="Y65" i="157"/>
  <c r="Y66" i="157"/>
  <c r="Y68" i="157"/>
  <c r="Y69" i="157"/>
  <c r="Y70" i="157"/>
  <c r="Y71" i="157"/>
  <c r="Y73" i="157"/>
  <c r="Y74" i="157"/>
  <c r="Y75" i="157"/>
  <c r="Y76" i="157"/>
  <c r="Y33" i="157"/>
  <c r="Y34" i="157"/>
  <c r="Y35" i="157"/>
  <c r="Y36" i="157"/>
  <c r="Y53" i="157" s="1"/>
  <c r="Y38" i="157"/>
  <c r="Y39" i="157"/>
  <c r="Y40" i="157"/>
  <c r="Y41" i="157"/>
  <c r="Y43" i="157"/>
  <c r="Y44" i="157"/>
  <c r="Y45" i="157"/>
  <c r="Y46" i="157"/>
  <c r="Y48" i="157"/>
  <c r="Y49" i="157"/>
  <c r="Y50" i="157"/>
  <c r="Y51" i="157"/>
  <c r="Y8" i="157"/>
  <c r="Y9" i="157"/>
  <c r="Y10" i="157"/>
  <c r="Y11" i="157"/>
  <c r="Y28" i="157" s="1"/>
  <c r="Y13" i="157"/>
  <c r="Y14" i="157"/>
  <c r="Y15" i="157"/>
  <c r="Y16" i="157"/>
  <c r="Y18" i="157"/>
  <c r="Y19" i="157"/>
  <c r="Y20" i="157"/>
  <c r="Y21" i="157"/>
  <c r="Y23" i="157"/>
  <c r="Y24" i="157"/>
  <c r="Y25" i="157"/>
  <c r="Y26" i="157"/>
  <c r="Y51" i="100"/>
  <c r="Y46" i="100"/>
  <c r="Y41" i="100"/>
  <c r="Y36" i="100"/>
  <c r="Y53" i="100"/>
  <c r="Y58" i="100"/>
  <c r="Y59" i="100"/>
  <c r="Y61" i="100" s="1"/>
  <c r="Y60" i="100"/>
  <c r="Y63" i="100"/>
  <c r="Y64" i="100"/>
  <c r="Y65" i="100"/>
  <c r="Y66" i="100"/>
  <c r="Y68" i="100"/>
  <c r="Y71" i="100" s="1"/>
  <c r="Y69" i="100"/>
  <c r="Y70" i="100"/>
  <c r="Y73" i="100"/>
  <c r="Y76" i="100" s="1"/>
  <c r="Y74" i="100"/>
  <c r="Y75" i="100"/>
  <c r="Y28" i="100"/>
  <c r="Y21" i="100"/>
  <c r="Y26" i="100"/>
  <c r="Y16" i="100"/>
  <c r="Y11" i="100"/>
  <c r="Y78" i="100" l="1"/>
  <c r="D25" i="158" l="1"/>
  <c r="D26" i="158"/>
  <c r="D27" i="158"/>
  <c r="C26" i="158"/>
  <c r="C28" i="158" s="1"/>
  <c r="C27" i="158"/>
  <c r="C25" i="158"/>
  <c r="D20" i="158"/>
  <c r="D21" i="158"/>
  <c r="D22" i="158"/>
  <c r="D23" i="158" s="1"/>
  <c r="C21" i="158"/>
  <c r="C22" i="158"/>
  <c r="C20" i="158"/>
  <c r="D15" i="158"/>
  <c r="D16" i="158"/>
  <c r="D17" i="158"/>
  <c r="C16" i="158"/>
  <c r="C17" i="158"/>
  <c r="C15" i="158"/>
  <c r="C18" i="158" s="1"/>
  <c r="D10" i="158"/>
  <c r="D11" i="158"/>
  <c r="D12" i="158"/>
  <c r="D13" i="158" s="1"/>
  <c r="C11" i="158"/>
  <c r="C12" i="158"/>
  <c r="C10" i="158"/>
  <c r="C40" i="158"/>
  <c r="J27" i="158"/>
  <c r="I27" i="158"/>
  <c r="H27" i="158"/>
  <c r="G27" i="158"/>
  <c r="F27" i="158"/>
  <c r="E27" i="158"/>
  <c r="J26" i="158"/>
  <c r="I26" i="158"/>
  <c r="H26" i="158"/>
  <c r="G26" i="158"/>
  <c r="F26" i="158"/>
  <c r="E26" i="158"/>
  <c r="J25" i="158"/>
  <c r="I25" i="158"/>
  <c r="I28" i="158" s="1"/>
  <c r="H25" i="158"/>
  <c r="H28" i="158" s="1"/>
  <c r="G25" i="158"/>
  <c r="G28" i="158" s="1"/>
  <c r="F25" i="158"/>
  <c r="F28" i="158" s="1"/>
  <c r="E25" i="158"/>
  <c r="E28" i="158" s="1"/>
  <c r="D28" i="158"/>
  <c r="J22" i="158"/>
  <c r="I22" i="158"/>
  <c r="H22" i="158"/>
  <c r="G22" i="158"/>
  <c r="F22" i="158"/>
  <c r="E22" i="158"/>
  <c r="J21" i="158"/>
  <c r="I21" i="158"/>
  <c r="H21" i="158"/>
  <c r="G21" i="158"/>
  <c r="F21" i="158"/>
  <c r="E21" i="158"/>
  <c r="J20" i="158"/>
  <c r="I20" i="158"/>
  <c r="I23" i="158" s="1"/>
  <c r="H20" i="158"/>
  <c r="H23" i="158" s="1"/>
  <c r="G20" i="158"/>
  <c r="G23" i="158" s="1"/>
  <c r="F20" i="158"/>
  <c r="F23" i="158" s="1"/>
  <c r="E20" i="158"/>
  <c r="E23" i="158" s="1"/>
  <c r="C23" i="158"/>
  <c r="J17" i="158"/>
  <c r="I17" i="158"/>
  <c r="H17" i="158"/>
  <c r="G17" i="158"/>
  <c r="F17" i="158"/>
  <c r="E17" i="158"/>
  <c r="J16" i="158"/>
  <c r="I16" i="158"/>
  <c r="H16" i="158"/>
  <c r="G16" i="158"/>
  <c r="F16" i="158"/>
  <c r="E16" i="158"/>
  <c r="J15" i="158"/>
  <c r="I15" i="158"/>
  <c r="I18" i="158" s="1"/>
  <c r="H15" i="158"/>
  <c r="H18" i="158" s="1"/>
  <c r="G15" i="158"/>
  <c r="G18" i="158" s="1"/>
  <c r="F15" i="158"/>
  <c r="F18" i="158" s="1"/>
  <c r="E15" i="158"/>
  <c r="E18" i="158" s="1"/>
  <c r="D18" i="158"/>
  <c r="J12" i="158"/>
  <c r="I12" i="158"/>
  <c r="H12" i="158"/>
  <c r="G12" i="158"/>
  <c r="F12" i="158"/>
  <c r="E12" i="158"/>
  <c r="J11" i="158"/>
  <c r="I11" i="158"/>
  <c r="H11" i="158"/>
  <c r="G11" i="158"/>
  <c r="F11" i="158"/>
  <c r="E11" i="158"/>
  <c r="J10" i="158"/>
  <c r="I10" i="158"/>
  <c r="I13" i="158" s="1"/>
  <c r="I7" i="158" s="1"/>
  <c r="H10" i="158"/>
  <c r="H13" i="158" s="1"/>
  <c r="H7" i="158" s="1"/>
  <c r="G10" i="158"/>
  <c r="G13" i="158" s="1"/>
  <c r="G7" i="158" s="1"/>
  <c r="F10" i="158"/>
  <c r="F13" i="158" s="1"/>
  <c r="F7" i="158" s="1"/>
  <c r="E10" i="158"/>
  <c r="E13" i="158" s="1"/>
  <c r="E7" i="158" s="1"/>
  <c r="C13" i="158"/>
  <c r="I28" i="101"/>
  <c r="H28" i="101"/>
  <c r="G28" i="101"/>
  <c r="F28" i="101"/>
  <c r="E28" i="101"/>
  <c r="D28" i="101"/>
  <c r="C28" i="101"/>
  <c r="J27" i="101"/>
  <c r="J26" i="101"/>
  <c r="J25" i="101"/>
  <c r="I23" i="101"/>
  <c r="H23" i="101"/>
  <c r="G23" i="101"/>
  <c r="F23" i="101"/>
  <c r="E23" i="101"/>
  <c r="D23" i="101"/>
  <c r="C23" i="101"/>
  <c r="J22" i="101"/>
  <c r="J21" i="101"/>
  <c r="J20" i="101"/>
  <c r="I18" i="101"/>
  <c r="H18" i="101"/>
  <c r="G18" i="101"/>
  <c r="F18" i="101"/>
  <c r="F7" i="101" s="1"/>
  <c r="E18" i="101"/>
  <c r="D18" i="101"/>
  <c r="C18" i="101"/>
  <c r="J17" i="101"/>
  <c r="J16" i="101"/>
  <c r="J15" i="101"/>
  <c r="I13" i="101"/>
  <c r="I7" i="101" s="1"/>
  <c r="H13" i="101"/>
  <c r="H7" i="101" s="1"/>
  <c r="G13" i="101"/>
  <c r="F13" i="101"/>
  <c r="E13" i="101"/>
  <c r="E7" i="101" s="1"/>
  <c r="D13" i="101"/>
  <c r="C13" i="101"/>
  <c r="J12" i="101"/>
  <c r="J11" i="101"/>
  <c r="J10" i="101"/>
  <c r="J13" i="101" s="1"/>
  <c r="G7" i="101"/>
  <c r="J32" i="156"/>
  <c r="H32" i="156"/>
  <c r="D32" i="156"/>
  <c r="J161" i="156"/>
  <c r="G161" i="156"/>
  <c r="H161" i="156"/>
  <c r="F161" i="156"/>
  <c r="C161" i="156"/>
  <c r="I31" i="156"/>
  <c r="I30" i="156"/>
  <c r="J262" i="156"/>
  <c r="J254" i="156"/>
  <c r="J255" i="156"/>
  <c r="J256" i="156"/>
  <c r="J257" i="156"/>
  <c r="J258" i="156"/>
  <c r="J259" i="156"/>
  <c r="J260" i="156"/>
  <c r="J261" i="156"/>
  <c r="C160" i="156"/>
  <c r="F160" i="156"/>
  <c r="G160" i="156"/>
  <c r="H160" i="156"/>
  <c r="I160" i="156"/>
  <c r="J160" i="156"/>
  <c r="D31" i="156"/>
  <c r="E31" i="156"/>
  <c r="G31" i="156"/>
  <c r="H31" i="156"/>
  <c r="J31" i="156"/>
  <c r="C237" i="156"/>
  <c r="F237" i="156"/>
  <c r="G237" i="156"/>
  <c r="J237" i="156" s="1"/>
  <c r="H237" i="156"/>
  <c r="I237" i="156"/>
  <c r="C212" i="156"/>
  <c r="F212" i="156"/>
  <c r="G212" i="156"/>
  <c r="J212" i="156" s="1"/>
  <c r="H212" i="156"/>
  <c r="I212" i="156"/>
  <c r="C187" i="156"/>
  <c r="F187" i="156"/>
  <c r="G187" i="156"/>
  <c r="H187" i="156"/>
  <c r="I187" i="156"/>
  <c r="J187" i="156"/>
  <c r="D108" i="156"/>
  <c r="E108" i="156"/>
  <c r="G108" i="156"/>
  <c r="H108" i="156"/>
  <c r="I108" i="156"/>
  <c r="J108" i="156"/>
  <c r="D83" i="156"/>
  <c r="E83" i="156"/>
  <c r="G83" i="156"/>
  <c r="H83" i="156"/>
  <c r="I83" i="156"/>
  <c r="J83" i="156"/>
  <c r="J58" i="156"/>
  <c r="H58" i="156"/>
  <c r="G58" i="156"/>
  <c r="G57" i="156"/>
  <c r="D58" i="156"/>
  <c r="C262" i="156"/>
  <c r="D262" i="156"/>
  <c r="E262" i="156"/>
  <c r="F262" i="156"/>
  <c r="G262" i="156"/>
  <c r="H262" i="156"/>
  <c r="I262" i="156"/>
  <c r="D133" i="156"/>
  <c r="E133" i="156"/>
  <c r="F133" i="156"/>
  <c r="G133" i="156"/>
  <c r="H133" i="156"/>
  <c r="I133" i="156"/>
  <c r="J133" i="156"/>
  <c r="J162" i="99"/>
  <c r="I162" i="99"/>
  <c r="H162" i="99"/>
  <c r="G162" i="99"/>
  <c r="F162" i="99"/>
  <c r="C162" i="99"/>
  <c r="J32" i="99"/>
  <c r="H32" i="99"/>
  <c r="D32" i="99"/>
  <c r="J263" i="99"/>
  <c r="J262" i="99"/>
  <c r="J238" i="99"/>
  <c r="J213" i="99"/>
  <c r="J188" i="99"/>
  <c r="I161" i="99"/>
  <c r="J161" i="99" s="1"/>
  <c r="H161" i="99"/>
  <c r="G161" i="99"/>
  <c r="F161" i="99"/>
  <c r="C161" i="99"/>
  <c r="J31" i="99"/>
  <c r="J28" i="158" l="1"/>
  <c r="J23" i="158"/>
  <c r="J18" i="158"/>
  <c r="D7" i="158"/>
  <c r="J13" i="158"/>
  <c r="J7" i="158" s="1"/>
  <c r="C7" i="158"/>
  <c r="D7" i="101"/>
  <c r="J28" i="101"/>
  <c r="C7" i="101"/>
  <c r="J23" i="101"/>
  <c r="J18" i="101"/>
  <c r="H31" i="99"/>
  <c r="G31" i="99"/>
  <c r="D31" i="99"/>
  <c r="J7" i="101" l="1"/>
  <c r="U24" i="98"/>
  <c r="AB144" i="5" l="1"/>
  <c r="T32" i="120"/>
  <c r="W42" i="106" l="1"/>
  <c r="V42" i="106"/>
  <c r="U42" i="106"/>
  <c r="T42" i="106"/>
  <c r="S42" i="106"/>
  <c r="R42" i="106"/>
  <c r="Q42" i="106"/>
  <c r="P42" i="106"/>
  <c r="O42" i="106"/>
  <c r="W24" i="106"/>
  <c r="V24" i="106"/>
  <c r="U24" i="106"/>
  <c r="T24" i="106"/>
  <c r="S24" i="106"/>
  <c r="R24" i="106"/>
  <c r="Q24" i="106"/>
  <c r="P24" i="106"/>
  <c r="O24" i="106"/>
  <c r="D42" i="106"/>
  <c r="C42" i="106"/>
  <c r="K42" i="106"/>
  <c r="J42" i="106"/>
  <c r="I42" i="106"/>
  <c r="H42" i="106"/>
  <c r="G42" i="106"/>
  <c r="F42" i="106"/>
  <c r="E42" i="106"/>
  <c r="K24" i="106"/>
  <c r="J24" i="106"/>
  <c r="I24" i="106"/>
  <c r="H24" i="106"/>
  <c r="G24" i="106"/>
  <c r="F24" i="106"/>
  <c r="E24" i="106"/>
  <c r="D24" i="106"/>
  <c r="C24" i="106"/>
  <c r="T24" i="98" l="1"/>
  <c r="Y44" i="160" l="1"/>
  <c r="Y45" i="160"/>
  <c r="Y46" i="160"/>
  <c r="Y47" i="160"/>
  <c r="Y48" i="160"/>
  <c r="Y49" i="160"/>
  <c r="Y50" i="160"/>
  <c r="Y51" i="160"/>
  <c r="Y52" i="160"/>
  <c r="Y53" i="160"/>
  <c r="Y54" i="160"/>
  <c r="Y55" i="160"/>
  <c r="Y57" i="160"/>
  <c r="Y26" i="160"/>
  <c r="Y27" i="160"/>
  <c r="Y28" i="160"/>
  <c r="Y29" i="160"/>
  <c r="Y30" i="160"/>
  <c r="Y31" i="160"/>
  <c r="Y32" i="160"/>
  <c r="Y33" i="160"/>
  <c r="Y34" i="160"/>
  <c r="Y35" i="160"/>
  <c r="Y36" i="160"/>
  <c r="Y37" i="160"/>
  <c r="Y39" i="160"/>
  <c r="Y8" i="160"/>
  <c r="Y9" i="160"/>
  <c r="Y10" i="160"/>
  <c r="Y11" i="160"/>
  <c r="Y12" i="160"/>
  <c r="Y13" i="160"/>
  <c r="Y14" i="160"/>
  <c r="Y15" i="160"/>
  <c r="Y16" i="160"/>
  <c r="Y17" i="160"/>
  <c r="Y18" i="160"/>
  <c r="Y19" i="160"/>
  <c r="Y21" i="160"/>
  <c r="X58" i="159" l="1"/>
  <c r="X59" i="159"/>
  <c r="X60" i="159"/>
  <c r="X61" i="159"/>
  <c r="X63" i="159"/>
  <c r="X64" i="159"/>
  <c r="X65" i="159"/>
  <c r="X66" i="159"/>
  <c r="X68" i="159"/>
  <c r="X69" i="159"/>
  <c r="X70" i="159"/>
  <c r="X71" i="159"/>
  <c r="X73" i="159"/>
  <c r="X74" i="159"/>
  <c r="X75" i="159"/>
  <c r="X76" i="159"/>
  <c r="X33" i="159"/>
  <c r="X34" i="159"/>
  <c r="X35" i="159"/>
  <c r="X36" i="159"/>
  <c r="X38" i="159"/>
  <c r="X39" i="159"/>
  <c r="X40" i="159"/>
  <c r="X41" i="159"/>
  <c r="X43" i="159"/>
  <c r="X44" i="159"/>
  <c r="X45" i="159"/>
  <c r="X46" i="159"/>
  <c r="X48" i="159"/>
  <c r="X49" i="159"/>
  <c r="X50" i="159"/>
  <c r="X51" i="159"/>
  <c r="X8" i="159"/>
  <c r="X9" i="159"/>
  <c r="X10" i="159"/>
  <c r="X11" i="159"/>
  <c r="X13" i="159"/>
  <c r="X14" i="159"/>
  <c r="X15" i="159"/>
  <c r="X16" i="159"/>
  <c r="X18" i="159"/>
  <c r="X19" i="159"/>
  <c r="X20" i="159"/>
  <c r="X21" i="159"/>
  <c r="X23" i="159"/>
  <c r="X24" i="159"/>
  <c r="X25" i="159"/>
  <c r="X26" i="159"/>
  <c r="X76" i="102"/>
  <c r="X71" i="102"/>
  <c r="X66" i="102"/>
  <c r="X61" i="102"/>
  <c r="X51" i="102"/>
  <c r="X46" i="102"/>
  <c r="X41" i="102"/>
  <c r="X36" i="102"/>
  <c r="X26" i="102"/>
  <c r="X21" i="102"/>
  <c r="X16" i="102"/>
  <c r="X11" i="102"/>
  <c r="I57" i="158"/>
  <c r="H57" i="158"/>
  <c r="G57" i="158"/>
  <c r="F57" i="158"/>
  <c r="E57" i="158"/>
  <c r="D57" i="158"/>
  <c r="C57" i="158"/>
  <c r="I56" i="158"/>
  <c r="H56" i="158"/>
  <c r="G56" i="158"/>
  <c r="F56" i="158"/>
  <c r="E56" i="158"/>
  <c r="D56" i="158"/>
  <c r="C56" i="158"/>
  <c r="I55" i="158"/>
  <c r="H55" i="158"/>
  <c r="H58" i="158" s="1"/>
  <c r="G55" i="158"/>
  <c r="F55" i="158"/>
  <c r="E55" i="158"/>
  <c r="D55" i="158"/>
  <c r="D58" i="158" s="1"/>
  <c r="C55" i="158"/>
  <c r="I52" i="158"/>
  <c r="H52" i="158"/>
  <c r="G52" i="158"/>
  <c r="F52" i="158"/>
  <c r="E52" i="158"/>
  <c r="D52" i="158"/>
  <c r="C52" i="158"/>
  <c r="I51" i="158"/>
  <c r="H51" i="158"/>
  <c r="G51" i="158"/>
  <c r="F51" i="158"/>
  <c r="E51" i="158"/>
  <c r="D51" i="158"/>
  <c r="C51" i="158"/>
  <c r="I50" i="158"/>
  <c r="I53" i="158" s="1"/>
  <c r="H50" i="158"/>
  <c r="G50" i="158"/>
  <c r="F50" i="158"/>
  <c r="E50" i="158"/>
  <c r="E53" i="158" s="1"/>
  <c r="D50" i="158"/>
  <c r="C50" i="158"/>
  <c r="I47" i="158"/>
  <c r="H47" i="158"/>
  <c r="G47" i="158"/>
  <c r="F47" i="158"/>
  <c r="E47" i="158"/>
  <c r="D47" i="158"/>
  <c r="C47" i="158"/>
  <c r="I46" i="158"/>
  <c r="H46" i="158"/>
  <c r="G46" i="158"/>
  <c r="F46" i="158"/>
  <c r="E46" i="158"/>
  <c r="D46" i="158"/>
  <c r="C46" i="158"/>
  <c r="I45" i="158"/>
  <c r="H45" i="158"/>
  <c r="G45" i="158"/>
  <c r="F45" i="158"/>
  <c r="F48" i="158" s="1"/>
  <c r="E45" i="158"/>
  <c r="D45" i="158"/>
  <c r="C45" i="158"/>
  <c r="I42" i="158"/>
  <c r="H42" i="158"/>
  <c r="G42" i="158"/>
  <c r="F42" i="158"/>
  <c r="E42" i="158"/>
  <c r="D42" i="158"/>
  <c r="C42" i="158"/>
  <c r="I41" i="158"/>
  <c r="H41" i="158"/>
  <c r="G41" i="158"/>
  <c r="F41" i="158"/>
  <c r="E41" i="158"/>
  <c r="D41" i="158"/>
  <c r="C41" i="158"/>
  <c r="I40" i="158"/>
  <c r="H40" i="158"/>
  <c r="G40" i="158"/>
  <c r="G43" i="158" s="1"/>
  <c r="F40" i="158"/>
  <c r="E40" i="158"/>
  <c r="D40" i="158"/>
  <c r="C43" i="158"/>
  <c r="I59" i="101"/>
  <c r="H59" i="101"/>
  <c r="G59" i="101"/>
  <c r="F59" i="101"/>
  <c r="E59" i="101"/>
  <c r="D59" i="101"/>
  <c r="C59" i="101"/>
  <c r="J58" i="101"/>
  <c r="J56" i="158" s="1"/>
  <c r="J57" i="101"/>
  <c r="J55" i="158" s="1"/>
  <c r="J56" i="101"/>
  <c r="J59" i="101" s="1"/>
  <c r="J57" i="158" s="1"/>
  <c r="I54" i="101"/>
  <c r="H54" i="101"/>
  <c r="G54" i="101"/>
  <c r="F54" i="101"/>
  <c r="E54" i="101"/>
  <c r="D54" i="101"/>
  <c r="C54" i="101"/>
  <c r="J53" i="101"/>
  <c r="J51" i="158" s="1"/>
  <c r="J52" i="101"/>
  <c r="J50" i="158" s="1"/>
  <c r="J51" i="101"/>
  <c r="J54" i="101" s="1"/>
  <c r="J52" i="158" s="1"/>
  <c r="I49" i="101"/>
  <c r="H49" i="101"/>
  <c r="G49" i="101"/>
  <c r="F49" i="101"/>
  <c r="E49" i="101"/>
  <c r="D49" i="101"/>
  <c r="C49" i="101"/>
  <c r="J48" i="101"/>
  <c r="J46" i="158" s="1"/>
  <c r="J47" i="101"/>
  <c r="J45" i="158" s="1"/>
  <c r="J46" i="101"/>
  <c r="J49" i="101" s="1"/>
  <c r="J47" i="158" s="1"/>
  <c r="I44" i="101"/>
  <c r="H44" i="101"/>
  <c r="H38" i="101" s="1"/>
  <c r="G44" i="101"/>
  <c r="F44" i="101"/>
  <c r="F38" i="101" s="1"/>
  <c r="E44" i="101"/>
  <c r="D44" i="101"/>
  <c r="D38" i="101" s="1"/>
  <c r="C44" i="101"/>
  <c r="J43" i="101"/>
  <c r="J41" i="158" s="1"/>
  <c r="J42" i="101"/>
  <c r="J40" i="158" s="1"/>
  <c r="J41" i="101"/>
  <c r="J44" i="101" s="1"/>
  <c r="J38" i="101" s="1"/>
  <c r="I38" i="101"/>
  <c r="G38" i="101"/>
  <c r="E38" i="101"/>
  <c r="C38" i="101"/>
  <c r="X33" i="157"/>
  <c r="X34" i="157"/>
  <c r="X35" i="157"/>
  <c r="X38" i="157"/>
  <c r="X39" i="157"/>
  <c r="X40" i="157"/>
  <c r="X43" i="157"/>
  <c r="X44" i="157"/>
  <c r="X45" i="157"/>
  <c r="X48" i="157"/>
  <c r="X49" i="157"/>
  <c r="X50" i="157"/>
  <c r="X8" i="157"/>
  <c r="X9" i="157"/>
  <c r="X10" i="157"/>
  <c r="X13" i="157"/>
  <c r="X14" i="157"/>
  <c r="X15" i="157"/>
  <c r="X18" i="157"/>
  <c r="X19" i="157"/>
  <c r="X20" i="157"/>
  <c r="X23" i="157"/>
  <c r="X24" i="157"/>
  <c r="X25" i="157"/>
  <c r="X58" i="100"/>
  <c r="X58" i="157" s="1"/>
  <c r="X59" i="100"/>
  <c r="X59" i="157" s="1"/>
  <c r="X60" i="100"/>
  <c r="X60" i="157" s="1"/>
  <c r="X63" i="100"/>
  <c r="X63" i="157" s="1"/>
  <c r="X64" i="100"/>
  <c r="X64" i="157" s="1"/>
  <c r="X65" i="100"/>
  <c r="X65" i="157" s="1"/>
  <c r="X68" i="100"/>
  <c r="X68" i="157" s="1"/>
  <c r="X69" i="100"/>
  <c r="X69" i="157" s="1"/>
  <c r="X70" i="100"/>
  <c r="X70" i="157" s="1"/>
  <c r="X73" i="100"/>
  <c r="X73" i="157" s="1"/>
  <c r="X74" i="100"/>
  <c r="X74" i="157" s="1"/>
  <c r="X75" i="100"/>
  <c r="X75" i="157" s="1"/>
  <c r="X51" i="100"/>
  <c r="X51" i="157" s="1"/>
  <c r="X46" i="100"/>
  <c r="X46" i="157" s="1"/>
  <c r="X41" i="100"/>
  <c r="X41" i="157" s="1"/>
  <c r="X36" i="100"/>
  <c r="X36" i="157" s="1"/>
  <c r="X26" i="100"/>
  <c r="X26" i="157" s="1"/>
  <c r="X21" i="100"/>
  <c r="X21" i="157" s="1"/>
  <c r="X16" i="100"/>
  <c r="X16" i="157" s="1"/>
  <c r="X11" i="100"/>
  <c r="X11" i="157" s="1"/>
  <c r="E261" i="156"/>
  <c r="F261" i="156"/>
  <c r="G261" i="156"/>
  <c r="H261" i="156"/>
  <c r="I261" i="156"/>
  <c r="D261" i="156"/>
  <c r="C261" i="156"/>
  <c r="D260" i="156"/>
  <c r="E260" i="156"/>
  <c r="F260" i="156"/>
  <c r="G260" i="156"/>
  <c r="H260" i="156"/>
  <c r="I260" i="156"/>
  <c r="C260" i="156"/>
  <c r="C236" i="156"/>
  <c r="F236" i="156"/>
  <c r="G236" i="156"/>
  <c r="H236" i="156"/>
  <c r="I236" i="156"/>
  <c r="C211" i="156"/>
  <c r="F211" i="156"/>
  <c r="G211" i="156"/>
  <c r="H211" i="156"/>
  <c r="I211" i="156"/>
  <c r="C186" i="156"/>
  <c r="F186" i="156"/>
  <c r="G186" i="156"/>
  <c r="H186" i="156"/>
  <c r="I186" i="156"/>
  <c r="D107" i="156"/>
  <c r="E107" i="156"/>
  <c r="G107" i="156"/>
  <c r="H107" i="156"/>
  <c r="I107" i="156"/>
  <c r="J107" i="156"/>
  <c r="D82" i="156"/>
  <c r="E82" i="156"/>
  <c r="G82" i="156"/>
  <c r="H82" i="156"/>
  <c r="I82" i="156"/>
  <c r="J82" i="156"/>
  <c r="D57" i="156"/>
  <c r="H57" i="156"/>
  <c r="J57" i="156"/>
  <c r="J131" i="156"/>
  <c r="I131" i="156"/>
  <c r="H131" i="156"/>
  <c r="G131" i="156"/>
  <c r="F131" i="156"/>
  <c r="E131" i="156"/>
  <c r="D131" i="156"/>
  <c r="H29" i="99"/>
  <c r="H30" i="99"/>
  <c r="J237" i="99"/>
  <c r="J212" i="99"/>
  <c r="J187" i="99"/>
  <c r="I160" i="99"/>
  <c r="H160" i="99"/>
  <c r="G160" i="99"/>
  <c r="F160" i="99"/>
  <c r="C160" i="99"/>
  <c r="J29" i="99"/>
  <c r="G29" i="99"/>
  <c r="D29" i="99"/>
  <c r="J30" i="99"/>
  <c r="G30" i="99"/>
  <c r="D30" i="99"/>
  <c r="D43" i="158" l="1"/>
  <c r="H43" i="158"/>
  <c r="C48" i="158"/>
  <c r="C37" i="158" s="1"/>
  <c r="G48" i="158"/>
  <c r="G37" i="158" s="1"/>
  <c r="F53" i="158"/>
  <c r="E58" i="158"/>
  <c r="I58" i="158"/>
  <c r="E43" i="158"/>
  <c r="I43" i="158"/>
  <c r="D48" i="158"/>
  <c r="H48" i="158"/>
  <c r="C53" i="158"/>
  <c r="G53" i="158"/>
  <c r="F58" i="158"/>
  <c r="F43" i="158"/>
  <c r="F37" i="158" s="1"/>
  <c r="E48" i="158"/>
  <c r="I48" i="158"/>
  <c r="D53" i="158"/>
  <c r="H53" i="158"/>
  <c r="C58" i="158"/>
  <c r="G58" i="158"/>
  <c r="J186" i="156"/>
  <c r="J236" i="156"/>
  <c r="F159" i="156"/>
  <c r="E30" i="156"/>
  <c r="J211" i="156"/>
  <c r="H159" i="156"/>
  <c r="X28" i="157"/>
  <c r="J160" i="99"/>
  <c r="X28" i="100"/>
  <c r="C159" i="156"/>
  <c r="I159" i="156"/>
  <c r="G159" i="156"/>
  <c r="X53" i="157"/>
  <c r="X76" i="100"/>
  <c r="X71" i="100"/>
  <c r="X66" i="100"/>
  <c r="X61" i="100"/>
  <c r="J42" i="158"/>
  <c r="X28" i="159"/>
  <c r="X53" i="159"/>
  <c r="X78" i="159"/>
  <c r="X78" i="102"/>
  <c r="X53" i="102"/>
  <c r="X28" i="102"/>
  <c r="X53" i="100"/>
  <c r="AB130" i="5"/>
  <c r="E37" i="158" l="1"/>
  <c r="J53" i="158"/>
  <c r="J43" i="158"/>
  <c r="J48" i="158"/>
  <c r="H37" i="158"/>
  <c r="J58" i="158"/>
  <c r="I37" i="158"/>
  <c r="D37" i="158"/>
  <c r="X61" i="157"/>
  <c r="X78" i="100"/>
  <c r="X66" i="157"/>
  <c r="X71" i="157"/>
  <c r="X76" i="157"/>
  <c r="T31" i="120"/>
  <c r="J37" i="158" l="1"/>
  <c r="X78" i="157"/>
  <c r="X44" i="160"/>
  <c r="X45" i="160"/>
  <c r="X46" i="160"/>
  <c r="X47" i="160"/>
  <c r="X48" i="160"/>
  <c r="X49" i="160"/>
  <c r="X50" i="160"/>
  <c r="X51" i="160"/>
  <c r="X52" i="160"/>
  <c r="X53" i="160"/>
  <c r="X54" i="160"/>
  <c r="X55" i="160"/>
  <c r="X57" i="160"/>
  <c r="X26" i="160"/>
  <c r="X27" i="160"/>
  <c r="X28" i="160"/>
  <c r="X29" i="160"/>
  <c r="X30" i="160"/>
  <c r="X31" i="160"/>
  <c r="X32" i="160"/>
  <c r="X33" i="160"/>
  <c r="X34" i="160"/>
  <c r="X35" i="160"/>
  <c r="X36" i="160"/>
  <c r="X37" i="160"/>
  <c r="X39" i="160"/>
  <c r="X8" i="160"/>
  <c r="X9" i="160"/>
  <c r="X10" i="160"/>
  <c r="X11" i="160"/>
  <c r="X12" i="160"/>
  <c r="X13" i="160"/>
  <c r="X14" i="160"/>
  <c r="X15" i="160"/>
  <c r="X16" i="160"/>
  <c r="X17" i="160"/>
  <c r="X18" i="160"/>
  <c r="X19" i="160"/>
  <c r="X21" i="160"/>
  <c r="W58" i="159" l="1"/>
  <c r="W59" i="159"/>
  <c r="W60" i="159"/>
  <c r="W63" i="159"/>
  <c r="W64" i="159"/>
  <c r="W65" i="159"/>
  <c r="W68" i="159"/>
  <c r="W69" i="159"/>
  <c r="W70" i="159"/>
  <c r="W73" i="159"/>
  <c r="W74" i="159"/>
  <c r="W75" i="159"/>
  <c r="W33" i="159"/>
  <c r="W34" i="159"/>
  <c r="W35" i="159"/>
  <c r="W38" i="159"/>
  <c r="W39" i="159"/>
  <c r="W40" i="159"/>
  <c r="W43" i="159"/>
  <c r="W44" i="159"/>
  <c r="W45" i="159"/>
  <c r="W48" i="159"/>
  <c r="W49" i="159"/>
  <c r="W50" i="159"/>
  <c r="W8" i="159"/>
  <c r="W9" i="159"/>
  <c r="W10" i="159"/>
  <c r="W13" i="159"/>
  <c r="W14" i="159"/>
  <c r="W15" i="159"/>
  <c r="W18" i="159"/>
  <c r="W19" i="159"/>
  <c r="W20" i="159"/>
  <c r="W23" i="159"/>
  <c r="W24" i="159"/>
  <c r="W25" i="159"/>
  <c r="W76" i="102"/>
  <c r="W71" i="102"/>
  <c r="W66" i="102"/>
  <c r="W61" i="102"/>
  <c r="W78" i="102" s="1"/>
  <c r="W51" i="102"/>
  <c r="W46" i="102"/>
  <c r="W41" i="102"/>
  <c r="W36" i="102"/>
  <c r="W53" i="102" s="1"/>
  <c r="W26" i="102"/>
  <c r="W21" i="102"/>
  <c r="W16" i="102"/>
  <c r="W11" i="102"/>
  <c r="W28" i="102" s="1"/>
  <c r="I88" i="158"/>
  <c r="H88" i="158"/>
  <c r="G88" i="158"/>
  <c r="F88" i="158"/>
  <c r="E88" i="158"/>
  <c r="D88" i="158"/>
  <c r="C88" i="158"/>
  <c r="I87" i="158"/>
  <c r="H87" i="158"/>
  <c r="G87" i="158"/>
  <c r="F87" i="158"/>
  <c r="E87" i="158"/>
  <c r="D87" i="158"/>
  <c r="C87" i="158"/>
  <c r="I86" i="158"/>
  <c r="H86" i="158"/>
  <c r="G86" i="158"/>
  <c r="F86" i="158"/>
  <c r="E86" i="158"/>
  <c r="D86" i="158"/>
  <c r="C86" i="158"/>
  <c r="I83" i="158"/>
  <c r="H83" i="158"/>
  <c r="G83" i="158"/>
  <c r="F83" i="158"/>
  <c r="E83" i="158"/>
  <c r="D83" i="158"/>
  <c r="C83" i="158"/>
  <c r="I82" i="158"/>
  <c r="H82" i="158"/>
  <c r="G82" i="158"/>
  <c r="F82" i="158"/>
  <c r="E82" i="158"/>
  <c r="D82" i="158"/>
  <c r="C82" i="158"/>
  <c r="I81" i="158"/>
  <c r="H81" i="158"/>
  <c r="G81" i="158"/>
  <c r="F81" i="158"/>
  <c r="E81" i="158"/>
  <c r="D81" i="158"/>
  <c r="C81" i="158"/>
  <c r="I78" i="158"/>
  <c r="H78" i="158"/>
  <c r="G78" i="158"/>
  <c r="F78" i="158"/>
  <c r="E78" i="158"/>
  <c r="D78" i="158"/>
  <c r="C78" i="158"/>
  <c r="I77" i="158"/>
  <c r="H77" i="158"/>
  <c r="G77" i="158"/>
  <c r="F77" i="158"/>
  <c r="E77" i="158"/>
  <c r="D77" i="158"/>
  <c r="C77" i="158"/>
  <c r="I76" i="158"/>
  <c r="H76" i="158"/>
  <c r="G76" i="158"/>
  <c r="F76" i="158"/>
  <c r="E76" i="158"/>
  <c r="D76" i="158"/>
  <c r="C76" i="158"/>
  <c r="I73" i="158"/>
  <c r="H73" i="158"/>
  <c r="G73" i="158"/>
  <c r="F73" i="158"/>
  <c r="E73" i="158"/>
  <c r="D73" i="158"/>
  <c r="C73" i="158"/>
  <c r="I72" i="158"/>
  <c r="H72" i="158"/>
  <c r="G72" i="158"/>
  <c r="F72" i="158"/>
  <c r="E72" i="158"/>
  <c r="D72" i="158"/>
  <c r="C72" i="158"/>
  <c r="I71" i="158"/>
  <c r="H71" i="158"/>
  <c r="G71" i="158"/>
  <c r="F71" i="158"/>
  <c r="E71" i="158"/>
  <c r="D71" i="158"/>
  <c r="C71" i="158"/>
  <c r="I90" i="101"/>
  <c r="H90" i="101"/>
  <c r="G90" i="101"/>
  <c r="F90" i="101"/>
  <c r="E90" i="101"/>
  <c r="D90" i="101"/>
  <c r="C90" i="101"/>
  <c r="J89" i="101"/>
  <c r="J87" i="158" s="1"/>
  <c r="J88" i="101"/>
  <c r="J86" i="158" s="1"/>
  <c r="J87" i="101"/>
  <c r="I85" i="101"/>
  <c r="H85" i="101"/>
  <c r="G85" i="101"/>
  <c r="F85" i="101"/>
  <c r="E85" i="101"/>
  <c r="D85" i="101"/>
  <c r="C85" i="101"/>
  <c r="J84" i="101"/>
  <c r="J82" i="158" s="1"/>
  <c r="J83" i="101"/>
  <c r="J81" i="158" s="1"/>
  <c r="J82" i="101"/>
  <c r="I80" i="101"/>
  <c r="H80" i="101"/>
  <c r="G80" i="101"/>
  <c r="F80" i="101"/>
  <c r="E80" i="101"/>
  <c r="D80" i="101"/>
  <c r="C80" i="101"/>
  <c r="J79" i="101"/>
  <c r="J77" i="158" s="1"/>
  <c r="J78" i="101"/>
  <c r="J76" i="158" s="1"/>
  <c r="J77" i="101"/>
  <c r="I75" i="101"/>
  <c r="H75" i="101"/>
  <c r="G75" i="101"/>
  <c r="F75" i="101"/>
  <c r="E75" i="101"/>
  <c r="D75" i="101"/>
  <c r="C75" i="101"/>
  <c r="J74" i="101"/>
  <c r="J72" i="158" s="1"/>
  <c r="J73" i="101"/>
  <c r="J71" i="158" s="1"/>
  <c r="J72" i="101"/>
  <c r="I69" i="101"/>
  <c r="H69" i="101"/>
  <c r="G69" i="101"/>
  <c r="F69" i="101"/>
  <c r="E69" i="101"/>
  <c r="D69" i="101"/>
  <c r="C69" i="101"/>
  <c r="W8" i="157"/>
  <c r="W9" i="157"/>
  <c r="W10" i="157"/>
  <c r="W13" i="157"/>
  <c r="W14" i="157"/>
  <c r="W15" i="157"/>
  <c r="W18" i="157"/>
  <c r="W19" i="157"/>
  <c r="W20" i="157"/>
  <c r="W23" i="157"/>
  <c r="W24" i="157"/>
  <c r="W25" i="157"/>
  <c r="W50" i="157"/>
  <c r="W49" i="157"/>
  <c r="W48" i="157"/>
  <c r="W45" i="157"/>
  <c r="W44" i="157"/>
  <c r="W43" i="157"/>
  <c r="W40" i="157"/>
  <c r="W39" i="157"/>
  <c r="W38" i="157"/>
  <c r="W35" i="157"/>
  <c r="W34" i="157"/>
  <c r="W33" i="157"/>
  <c r="W51" i="100"/>
  <c r="W51" i="157" s="1"/>
  <c r="W46" i="100"/>
  <c r="W46" i="157" s="1"/>
  <c r="W41" i="100"/>
  <c r="W41" i="157" s="1"/>
  <c r="W36" i="100"/>
  <c r="W26" i="100"/>
  <c r="W26" i="157" s="1"/>
  <c r="W21" i="100"/>
  <c r="W21" i="157" s="1"/>
  <c r="W16" i="100"/>
  <c r="W16" i="157" s="1"/>
  <c r="W11" i="100"/>
  <c r="W11" i="157" s="1"/>
  <c r="W26" i="159" l="1"/>
  <c r="W16" i="159"/>
  <c r="W76" i="159"/>
  <c r="W66" i="159"/>
  <c r="W21" i="159"/>
  <c r="W11" i="159"/>
  <c r="W28" i="159" s="1"/>
  <c r="W71" i="159"/>
  <c r="W61" i="159"/>
  <c r="W78" i="159" s="1"/>
  <c r="D74" i="158"/>
  <c r="F74" i="158"/>
  <c r="H74" i="158"/>
  <c r="C79" i="158"/>
  <c r="E79" i="158"/>
  <c r="G79" i="158"/>
  <c r="I79" i="158"/>
  <c r="D84" i="158"/>
  <c r="F84" i="158"/>
  <c r="H84" i="158"/>
  <c r="C89" i="158"/>
  <c r="E89" i="158"/>
  <c r="G89" i="158"/>
  <c r="I89" i="158"/>
  <c r="C74" i="158"/>
  <c r="E74" i="158"/>
  <c r="G74" i="158"/>
  <c r="I74" i="158"/>
  <c r="D79" i="158"/>
  <c r="F79" i="158"/>
  <c r="H79" i="158"/>
  <c r="C84" i="158"/>
  <c r="E84" i="158"/>
  <c r="G84" i="158"/>
  <c r="I84" i="158"/>
  <c r="D89" i="158"/>
  <c r="F89" i="158"/>
  <c r="H89" i="158"/>
  <c r="W28" i="157"/>
  <c r="W53" i="100"/>
  <c r="W28" i="100"/>
  <c r="W36" i="157"/>
  <c r="W46" i="159"/>
  <c r="W36" i="159"/>
  <c r="J80" i="101"/>
  <c r="J78" i="158" s="1"/>
  <c r="J85" i="101"/>
  <c r="J83" i="158" s="1"/>
  <c r="J90" i="101"/>
  <c r="J88" i="158" s="1"/>
  <c r="W51" i="159"/>
  <c r="W41" i="159"/>
  <c r="J75" i="101"/>
  <c r="W58" i="100"/>
  <c r="W59" i="100"/>
  <c r="W60" i="100"/>
  <c r="W63" i="100"/>
  <c r="W64" i="100"/>
  <c r="W65" i="100"/>
  <c r="W68" i="100"/>
  <c r="W69" i="100"/>
  <c r="W70" i="100"/>
  <c r="W73" i="100"/>
  <c r="W74" i="100"/>
  <c r="W75" i="100"/>
  <c r="C235" i="156"/>
  <c r="F235" i="156"/>
  <c r="G235" i="156"/>
  <c r="H235" i="156"/>
  <c r="I235" i="156"/>
  <c r="C210" i="156"/>
  <c r="F210" i="156"/>
  <c r="G210" i="156"/>
  <c r="H210" i="156"/>
  <c r="I210" i="156"/>
  <c r="C185" i="156"/>
  <c r="C158" i="156" s="1"/>
  <c r="F185" i="156"/>
  <c r="G185" i="156"/>
  <c r="H185" i="156"/>
  <c r="I185" i="156"/>
  <c r="I158" i="156" s="1"/>
  <c r="D132" i="156"/>
  <c r="D30" i="156" s="1"/>
  <c r="E132" i="156"/>
  <c r="F132" i="156"/>
  <c r="G132" i="156"/>
  <c r="G30" i="156" s="1"/>
  <c r="H132" i="156"/>
  <c r="H30" i="156" s="1"/>
  <c r="I132" i="156"/>
  <c r="J132" i="156"/>
  <c r="J30" i="156" s="1"/>
  <c r="D106" i="156"/>
  <c r="E106" i="156"/>
  <c r="G106" i="156"/>
  <c r="H106" i="156"/>
  <c r="I106" i="156"/>
  <c r="J106" i="156"/>
  <c r="D81" i="156"/>
  <c r="E81" i="156"/>
  <c r="G81" i="156"/>
  <c r="H81" i="156"/>
  <c r="I81" i="156"/>
  <c r="J81" i="156"/>
  <c r="G56" i="156"/>
  <c r="G29" i="156" s="1"/>
  <c r="H56" i="156"/>
  <c r="J56" i="156"/>
  <c r="D56" i="156"/>
  <c r="I29" i="156"/>
  <c r="J186" i="99"/>
  <c r="J261" i="99"/>
  <c r="J260" i="99"/>
  <c r="J236" i="99"/>
  <c r="J211" i="99"/>
  <c r="I159" i="99"/>
  <c r="H159" i="99"/>
  <c r="G159" i="99"/>
  <c r="F159" i="99"/>
  <c r="C159" i="99"/>
  <c r="J89" i="158" l="1"/>
  <c r="H158" i="156"/>
  <c r="J29" i="156"/>
  <c r="G158" i="156"/>
  <c r="H29" i="156"/>
  <c r="F158" i="156"/>
  <c r="J210" i="156"/>
  <c r="J235" i="156"/>
  <c r="D29" i="156"/>
  <c r="J185" i="156"/>
  <c r="J159" i="156"/>
  <c r="J79" i="158"/>
  <c r="C68" i="158"/>
  <c r="W53" i="159"/>
  <c r="H68" i="158"/>
  <c r="D68" i="158"/>
  <c r="J84" i="158"/>
  <c r="F68" i="158"/>
  <c r="I68" i="158"/>
  <c r="E68" i="158"/>
  <c r="J74" i="158"/>
  <c r="J68" i="158" s="1"/>
  <c r="G68" i="158"/>
  <c r="W61" i="100"/>
  <c r="W75" i="157"/>
  <c r="W73" i="157"/>
  <c r="W70" i="157"/>
  <c r="W68" i="157"/>
  <c r="W64" i="157"/>
  <c r="W61" i="157"/>
  <c r="W59" i="157"/>
  <c r="J69" i="101"/>
  <c r="J73" i="158"/>
  <c r="W53" i="157"/>
  <c r="E29" i="156"/>
  <c r="W74" i="157"/>
  <c r="W71" i="100"/>
  <c r="W69" i="157"/>
  <c r="W65" i="157"/>
  <c r="W63" i="157"/>
  <c r="W60" i="157"/>
  <c r="W58" i="157"/>
  <c r="W66" i="100"/>
  <c r="W76" i="100"/>
  <c r="J159" i="99"/>
  <c r="S24" i="98"/>
  <c r="J158" i="156" l="1"/>
  <c r="W66" i="157"/>
  <c r="W76" i="157"/>
  <c r="W71" i="157"/>
  <c r="W78" i="100"/>
  <c r="M24" i="155"/>
  <c r="W78" i="157" l="1"/>
  <c r="P10" i="155"/>
  <c r="U10" i="155"/>
  <c r="U11" i="155"/>
  <c r="U12" i="155"/>
  <c r="U13" i="155"/>
  <c r="U14" i="155"/>
  <c r="U15" i="155"/>
  <c r="U16" i="155"/>
  <c r="U17" i="155"/>
  <c r="U18" i="155"/>
  <c r="U19" i="155"/>
  <c r="U20" i="155"/>
  <c r="U21" i="155"/>
  <c r="Q10" i="155" l="1"/>
  <c r="V10" i="155"/>
  <c r="AB116" i="5"/>
  <c r="R24" i="98"/>
  <c r="T30" i="120" l="1"/>
  <c r="CE88" i="106"/>
  <c r="CD88" i="106"/>
  <c r="CC88" i="106"/>
  <c r="CB88" i="106"/>
  <c r="CA88" i="106"/>
  <c r="BZ88" i="106"/>
  <c r="BY88" i="106"/>
  <c r="BX88" i="106"/>
  <c r="BW88" i="106"/>
  <c r="CE70" i="106"/>
  <c r="CD70" i="106"/>
  <c r="CC70" i="106"/>
  <c r="CB70" i="106"/>
  <c r="CA70" i="106"/>
  <c r="BZ70" i="106"/>
  <c r="BY70" i="106"/>
  <c r="BX70" i="106"/>
  <c r="BW70" i="106"/>
  <c r="BS88" i="106"/>
  <c r="BR88" i="106"/>
  <c r="BQ88" i="106"/>
  <c r="BP88" i="106"/>
  <c r="BO88" i="106"/>
  <c r="BN88" i="106"/>
  <c r="BM88" i="106"/>
  <c r="BL88" i="106"/>
  <c r="BK88" i="106"/>
  <c r="BS70" i="106"/>
  <c r="BR70" i="106"/>
  <c r="BQ70" i="106"/>
  <c r="BP70" i="106"/>
  <c r="BO70" i="106"/>
  <c r="BN70" i="106"/>
  <c r="BM70" i="106"/>
  <c r="BL70" i="106"/>
  <c r="BK70" i="106"/>
  <c r="BG88" i="106"/>
  <c r="BF88" i="106"/>
  <c r="BE88" i="106"/>
  <c r="BD88" i="106"/>
  <c r="BC88" i="106"/>
  <c r="BB88" i="106"/>
  <c r="BA88" i="106"/>
  <c r="AZ88" i="106"/>
  <c r="AY88" i="106"/>
  <c r="BG70" i="106"/>
  <c r="BF70" i="106"/>
  <c r="BE70" i="106"/>
  <c r="BD70" i="106"/>
  <c r="BC70" i="106"/>
  <c r="BB70" i="106"/>
  <c r="BA70" i="106"/>
  <c r="AZ70" i="106"/>
  <c r="AY70" i="106"/>
  <c r="AU88" i="106"/>
  <c r="AT88" i="106"/>
  <c r="AS88" i="106"/>
  <c r="AR88" i="106"/>
  <c r="AQ88" i="106"/>
  <c r="AP88" i="106"/>
  <c r="AO88" i="106"/>
  <c r="AN88" i="106"/>
  <c r="AM88" i="106"/>
  <c r="AU70" i="106"/>
  <c r="AT70" i="106"/>
  <c r="AS70" i="106"/>
  <c r="AR70" i="106"/>
  <c r="AQ70" i="106"/>
  <c r="AP70" i="106"/>
  <c r="AO70" i="106"/>
  <c r="AN70" i="106"/>
  <c r="AM70" i="106"/>
  <c r="AI88" i="106"/>
  <c r="AH88" i="106"/>
  <c r="AG88" i="106"/>
  <c r="AF88" i="106"/>
  <c r="AE88" i="106"/>
  <c r="AD88" i="106"/>
  <c r="AC88" i="106"/>
  <c r="AB88" i="106"/>
  <c r="AA88" i="106"/>
  <c r="AI70" i="106"/>
  <c r="AH70" i="106"/>
  <c r="AG70" i="106"/>
  <c r="AF70" i="106"/>
  <c r="AE70" i="106"/>
  <c r="AD70" i="106"/>
  <c r="AC70" i="106"/>
  <c r="AB70" i="106"/>
  <c r="AA70" i="106"/>
  <c r="W88" i="106"/>
  <c r="V88" i="106"/>
  <c r="U88" i="106"/>
  <c r="T88" i="106"/>
  <c r="S88" i="106"/>
  <c r="R88" i="106"/>
  <c r="Q88" i="106"/>
  <c r="P88" i="106"/>
  <c r="O88" i="106"/>
  <c r="W70" i="106"/>
  <c r="V70" i="106"/>
  <c r="U70" i="106"/>
  <c r="T70" i="106"/>
  <c r="S70" i="106"/>
  <c r="R70" i="106"/>
  <c r="Q70" i="106"/>
  <c r="P70" i="106"/>
  <c r="O70" i="106"/>
  <c r="W44" i="160" l="1"/>
  <c r="W45" i="160"/>
  <c r="W46" i="160"/>
  <c r="W47" i="160"/>
  <c r="W48" i="160"/>
  <c r="W49" i="160"/>
  <c r="W50" i="160"/>
  <c r="W51" i="160"/>
  <c r="W52" i="160"/>
  <c r="W53" i="160"/>
  <c r="W54" i="160"/>
  <c r="W55" i="160"/>
  <c r="W57" i="160"/>
  <c r="W26" i="160"/>
  <c r="W27" i="160"/>
  <c r="W28" i="160"/>
  <c r="W29" i="160"/>
  <c r="W30" i="160"/>
  <c r="W31" i="160"/>
  <c r="W32" i="160"/>
  <c r="W33" i="160"/>
  <c r="W34" i="160"/>
  <c r="W35" i="160"/>
  <c r="W36" i="160"/>
  <c r="W37" i="160"/>
  <c r="W39" i="160"/>
  <c r="W8" i="160"/>
  <c r="W9" i="160"/>
  <c r="W10" i="160"/>
  <c r="W11" i="160"/>
  <c r="W12" i="160"/>
  <c r="W13" i="160"/>
  <c r="W14" i="160"/>
  <c r="W15" i="160"/>
  <c r="W16" i="160"/>
  <c r="W17" i="160"/>
  <c r="W18" i="160"/>
  <c r="W19" i="160"/>
  <c r="W21" i="160"/>
  <c r="V58" i="159" l="1"/>
  <c r="V59" i="159"/>
  <c r="V60" i="159"/>
  <c r="V63" i="159"/>
  <c r="V64" i="159"/>
  <c r="V65" i="159"/>
  <c r="V68" i="159"/>
  <c r="V69" i="159"/>
  <c r="V70" i="159"/>
  <c r="V73" i="159"/>
  <c r="V74" i="159"/>
  <c r="V75" i="159"/>
  <c r="V33" i="159"/>
  <c r="V34" i="159"/>
  <c r="V35" i="159"/>
  <c r="V38" i="159"/>
  <c r="V39" i="159"/>
  <c r="V40" i="159"/>
  <c r="V43" i="159"/>
  <c r="V44" i="159"/>
  <c r="V45" i="159"/>
  <c r="V48" i="159"/>
  <c r="V49" i="159"/>
  <c r="V50" i="159"/>
  <c r="V8" i="159"/>
  <c r="V9" i="159"/>
  <c r="V10" i="159"/>
  <c r="V13" i="159"/>
  <c r="V14" i="159"/>
  <c r="V15" i="159"/>
  <c r="V18" i="159"/>
  <c r="V19" i="159"/>
  <c r="V20" i="159"/>
  <c r="V23" i="159"/>
  <c r="V24" i="159"/>
  <c r="V25" i="159"/>
  <c r="V76" i="102"/>
  <c r="V71" i="102"/>
  <c r="V66" i="102"/>
  <c r="V61" i="102"/>
  <c r="V78" i="102" s="1"/>
  <c r="V51" i="102"/>
  <c r="V46" i="102"/>
  <c r="V41" i="102"/>
  <c r="V36" i="102"/>
  <c r="V53" i="102" s="1"/>
  <c r="V26" i="102"/>
  <c r="V21" i="102"/>
  <c r="V16" i="102"/>
  <c r="V11" i="102"/>
  <c r="I119" i="158"/>
  <c r="H119" i="158"/>
  <c r="G119" i="158"/>
  <c r="F119" i="158"/>
  <c r="E119" i="158"/>
  <c r="D119" i="158"/>
  <c r="C119" i="158"/>
  <c r="I118" i="158"/>
  <c r="H118" i="158"/>
  <c r="G118" i="158"/>
  <c r="F118" i="158"/>
  <c r="E118" i="158"/>
  <c r="D118" i="158"/>
  <c r="C118" i="158"/>
  <c r="I117" i="158"/>
  <c r="H117" i="158"/>
  <c r="G117" i="158"/>
  <c r="F117" i="158"/>
  <c r="E117" i="158"/>
  <c r="D117" i="158"/>
  <c r="C117" i="158"/>
  <c r="I114" i="158"/>
  <c r="H114" i="158"/>
  <c r="G114" i="158"/>
  <c r="F114" i="158"/>
  <c r="E114" i="158"/>
  <c r="D114" i="158"/>
  <c r="C114" i="158"/>
  <c r="I113" i="158"/>
  <c r="H113" i="158"/>
  <c r="G113" i="158"/>
  <c r="F113" i="158"/>
  <c r="E113" i="158"/>
  <c r="D113" i="158"/>
  <c r="C113" i="158"/>
  <c r="I112" i="158"/>
  <c r="H112" i="158"/>
  <c r="G112" i="158"/>
  <c r="F112" i="158"/>
  <c r="E112" i="158"/>
  <c r="D112" i="158"/>
  <c r="C112" i="158"/>
  <c r="I109" i="158"/>
  <c r="H109" i="158"/>
  <c r="G109" i="158"/>
  <c r="F109" i="158"/>
  <c r="E109" i="158"/>
  <c r="D109" i="158"/>
  <c r="C109" i="158"/>
  <c r="I108" i="158"/>
  <c r="H108" i="158"/>
  <c r="G108" i="158"/>
  <c r="F108" i="158"/>
  <c r="E108" i="158"/>
  <c r="D108" i="158"/>
  <c r="C108" i="158"/>
  <c r="I107" i="158"/>
  <c r="H107" i="158"/>
  <c r="G107" i="158"/>
  <c r="F107" i="158"/>
  <c r="E107" i="158"/>
  <c r="D107" i="158"/>
  <c r="C107" i="158"/>
  <c r="I104" i="158"/>
  <c r="H104" i="158"/>
  <c r="G104" i="158"/>
  <c r="F104" i="158"/>
  <c r="E104" i="158"/>
  <c r="D104" i="158"/>
  <c r="C104" i="158"/>
  <c r="I103" i="158"/>
  <c r="H103" i="158"/>
  <c r="G103" i="158"/>
  <c r="F103" i="158"/>
  <c r="E103" i="158"/>
  <c r="D103" i="158"/>
  <c r="C103" i="158"/>
  <c r="I102" i="158"/>
  <c r="H102" i="158"/>
  <c r="G102" i="158"/>
  <c r="F102" i="158"/>
  <c r="E102" i="158"/>
  <c r="D102" i="158"/>
  <c r="C102" i="158"/>
  <c r="I121" i="101"/>
  <c r="H121" i="101"/>
  <c r="G121" i="101"/>
  <c r="F121" i="101"/>
  <c r="E121" i="101"/>
  <c r="D121" i="101"/>
  <c r="C121" i="101"/>
  <c r="J120" i="101"/>
  <c r="J118" i="158" s="1"/>
  <c r="J119" i="101"/>
  <c r="J117" i="158" s="1"/>
  <c r="J118" i="101"/>
  <c r="I116" i="101"/>
  <c r="H116" i="101"/>
  <c r="G116" i="101"/>
  <c r="F116" i="101"/>
  <c r="E116" i="101"/>
  <c r="D116" i="101"/>
  <c r="C116" i="101"/>
  <c r="J115" i="101"/>
  <c r="J113" i="158" s="1"/>
  <c r="J114" i="101"/>
  <c r="J112" i="158" s="1"/>
  <c r="J113" i="101"/>
  <c r="I111" i="101"/>
  <c r="H111" i="101"/>
  <c r="G111" i="101"/>
  <c r="F111" i="101"/>
  <c r="E111" i="101"/>
  <c r="D111" i="101"/>
  <c r="C111" i="101"/>
  <c r="J110" i="101"/>
  <c r="J108" i="158" s="1"/>
  <c r="J109" i="101"/>
  <c r="J107" i="158" s="1"/>
  <c r="J108" i="101"/>
  <c r="I106" i="101"/>
  <c r="I100" i="101" s="1"/>
  <c r="H106" i="101"/>
  <c r="G106" i="101"/>
  <c r="G100" i="101" s="1"/>
  <c r="F106" i="101"/>
  <c r="F100" i="101" s="1"/>
  <c r="E106" i="101"/>
  <c r="E100" i="101" s="1"/>
  <c r="D106" i="101"/>
  <c r="D100" i="101" s="1"/>
  <c r="C106" i="101"/>
  <c r="C100" i="101" s="1"/>
  <c r="J105" i="101"/>
  <c r="J103" i="158" s="1"/>
  <c r="J104" i="101"/>
  <c r="J102" i="158" s="1"/>
  <c r="J103" i="101"/>
  <c r="V33" i="157"/>
  <c r="V34" i="157"/>
  <c r="V35" i="157"/>
  <c r="V38" i="157"/>
  <c r="V39" i="157"/>
  <c r="V40" i="157"/>
  <c r="V43" i="157"/>
  <c r="V44" i="157"/>
  <c r="V45" i="157"/>
  <c r="V48" i="157"/>
  <c r="V49" i="157"/>
  <c r="V50" i="157"/>
  <c r="V8" i="157"/>
  <c r="V9" i="157"/>
  <c r="V10" i="157"/>
  <c r="V13" i="157"/>
  <c r="V14" i="157"/>
  <c r="V15" i="157"/>
  <c r="V18" i="157"/>
  <c r="V19" i="157"/>
  <c r="V20" i="157"/>
  <c r="V23" i="157"/>
  <c r="V24" i="157"/>
  <c r="V25" i="157"/>
  <c r="V58" i="100"/>
  <c r="V58" i="157" s="1"/>
  <c r="V59" i="100"/>
  <c r="V59" i="157" s="1"/>
  <c r="V60" i="100"/>
  <c r="V60" i="157" s="1"/>
  <c r="V63" i="100"/>
  <c r="V63" i="157" s="1"/>
  <c r="V64" i="100"/>
  <c r="V64" i="157" s="1"/>
  <c r="V65" i="100"/>
  <c r="V65" i="157" s="1"/>
  <c r="V68" i="100"/>
  <c r="V68" i="157" s="1"/>
  <c r="V69" i="100"/>
  <c r="V69" i="157" s="1"/>
  <c r="V70" i="100"/>
  <c r="V70" i="157" s="1"/>
  <c r="V73" i="100"/>
  <c r="V73" i="157" s="1"/>
  <c r="V74" i="100"/>
  <c r="V74" i="157" s="1"/>
  <c r="V75" i="100"/>
  <c r="V75" i="157" s="1"/>
  <c r="V51" i="100"/>
  <c r="V51" i="157" s="1"/>
  <c r="V46" i="100"/>
  <c r="V46" i="157" s="1"/>
  <c r="V41" i="100"/>
  <c r="V41" i="157" s="1"/>
  <c r="V36" i="100"/>
  <c r="V36" i="157" s="1"/>
  <c r="V26" i="100"/>
  <c r="V26" i="157" s="1"/>
  <c r="V21" i="100"/>
  <c r="V21" i="157" s="1"/>
  <c r="V16" i="100"/>
  <c r="V16" i="157" s="1"/>
  <c r="V11" i="100"/>
  <c r="V11" i="157" s="1"/>
  <c r="D259" i="156"/>
  <c r="E259" i="156"/>
  <c r="F259" i="156"/>
  <c r="G259" i="156"/>
  <c r="H259" i="156"/>
  <c r="I259" i="156"/>
  <c r="C259" i="156"/>
  <c r="D258" i="156"/>
  <c r="E258" i="156"/>
  <c r="F258" i="156"/>
  <c r="G258" i="156"/>
  <c r="H258" i="156"/>
  <c r="I258" i="156"/>
  <c r="C258" i="156"/>
  <c r="J130" i="156"/>
  <c r="E130" i="156"/>
  <c r="F130" i="156"/>
  <c r="G130" i="156"/>
  <c r="H130" i="156"/>
  <c r="I130" i="156"/>
  <c r="D130" i="156"/>
  <c r="J129" i="156"/>
  <c r="E129" i="156"/>
  <c r="F129" i="156"/>
  <c r="G129" i="156"/>
  <c r="H129" i="156"/>
  <c r="I129" i="156"/>
  <c r="D129" i="156"/>
  <c r="J185" i="99"/>
  <c r="C234" i="156"/>
  <c r="F234" i="156"/>
  <c r="G234" i="156"/>
  <c r="H234" i="156"/>
  <c r="I234" i="156"/>
  <c r="C209" i="156"/>
  <c r="F209" i="156"/>
  <c r="G209" i="156"/>
  <c r="H209" i="156"/>
  <c r="I209" i="156"/>
  <c r="C184" i="156"/>
  <c r="F184" i="156"/>
  <c r="G184" i="156"/>
  <c r="H184" i="156"/>
  <c r="I184" i="156"/>
  <c r="D105" i="156"/>
  <c r="E105" i="156"/>
  <c r="G105" i="156"/>
  <c r="H105" i="156"/>
  <c r="I105" i="156"/>
  <c r="J105" i="156"/>
  <c r="D80" i="156"/>
  <c r="E80" i="156"/>
  <c r="E28" i="156" s="1"/>
  <c r="G80" i="156"/>
  <c r="H80" i="156"/>
  <c r="I80" i="156"/>
  <c r="J80" i="156"/>
  <c r="D55" i="156"/>
  <c r="G55" i="156"/>
  <c r="H55" i="156"/>
  <c r="J55" i="156"/>
  <c r="J235" i="99"/>
  <c r="J210" i="99"/>
  <c r="J184" i="99"/>
  <c r="I158" i="99"/>
  <c r="G158" i="99"/>
  <c r="H158" i="99"/>
  <c r="F158" i="99"/>
  <c r="C158" i="99"/>
  <c r="I157" i="99"/>
  <c r="G157" i="99"/>
  <c r="H157" i="99"/>
  <c r="F157" i="99"/>
  <c r="C157" i="99"/>
  <c r="J28" i="99"/>
  <c r="J27" i="99"/>
  <c r="H27" i="99"/>
  <c r="H28" i="99"/>
  <c r="G28" i="99"/>
  <c r="G27" i="99"/>
  <c r="D28" i="99"/>
  <c r="D27" i="99"/>
  <c r="J259" i="99"/>
  <c r="D28" i="156" l="1"/>
  <c r="E105" i="158"/>
  <c r="G105" i="158"/>
  <c r="I105" i="158"/>
  <c r="D110" i="158"/>
  <c r="F110" i="158"/>
  <c r="H110" i="158"/>
  <c r="E115" i="158"/>
  <c r="G115" i="158"/>
  <c r="I115" i="158"/>
  <c r="D120" i="158"/>
  <c r="F120" i="158"/>
  <c r="H120" i="158"/>
  <c r="V53" i="100"/>
  <c r="H100" i="101"/>
  <c r="V28" i="100"/>
  <c r="V76" i="100"/>
  <c r="V76" i="157" s="1"/>
  <c r="V71" i="100"/>
  <c r="V71" i="157" s="1"/>
  <c r="V66" i="100"/>
  <c r="V66" i="157" s="1"/>
  <c r="V61" i="100"/>
  <c r="D105" i="158"/>
  <c r="F105" i="158"/>
  <c r="H105" i="158"/>
  <c r="C110" i="158"/>
  <c r="E110" i="158"/>
  <c r="G110" i="158"/>
  <c r="I110" i="158"/>
  <c r="F115" i="158"/>
  <c r="H115" i="158"/>
  <c r="C120" i="158"/>
  <c r="E120" i="158"/>
  <c r="G120" i="158"/>
  <c r="I120" i="158"/>
  <c r="V26" i="159"/>
  <c r="V16" i="159"/>
  <c r="V51" i="159"/>
  <c r="V41" i="159"/>
  <c r="V76" i="159"/>
  <c r="V66" i="159"/>
  <c r="V21" i="159"/>
  <c r="V11" i="159"/>
  <c r="V46" i="159"/>
  <c r="V36" i="159"/>
  <c r="V71" i="159"/>
  <c r="V61" i="159"/>
  <c r="V28" i="157"/>
  <c r="V53" i="157"/>
  <c r="J28" i="156"/>
  <c r="G28" i="156"/>
  <c r="I157" i="156"/>
  <c r="G157" i="156"/>
  <c r="C157" i="156"/>
  <c r="I28" i="156"/>
  <c r="J234" i="156"/>
  <c r="H157" i="156"/>
  <c r="F157" i="156"/>
  <c r="J184" i="156"/>
  <c r="J209" i="156"/>
  <c r="H28" i="156"/>
  <c r="V28" i="102"/>
  <c r="D115" i="158"/>
  <c r="J116" i="101"/>
  <c r="J114" i="158" s="1"/>
  <c r="C115" i="158"/>
  <c r="J106" i="101"/>
  <c r="C105" i="158"/>
  <c r="J121" i="101"/>
  <c r="J119" i="158" s="1"/>
  <c r="J111" i="101"/>
  <c r="J109" i="158" s="1"/>
  <c r="J104" i="158"/>
  <c r="J158" i="99"/>
  <c r="T29" i="120"/>
  <c r="V53" i="159" l="1"/>
  <c r="D99" i="158"/>
  <c r="J120" i="158"/>
  <c r="E99" i="158"/>
  <c r="H99" i="158"/>
  <c r="I99" i="158"/>
  <c r="G99" i="158"/>
  <c r="J110" i="158"/>
  <c r="F99" i="158"/>
  <c r="V78" i="100"/>
  <c r="V61" i="157"/>
  <c r="V78" i="157" s="1"/>
  <c r="J105" i="158"/>
  <c r="J99" i="158" s="1"/>
  <c r="C99" i="158"/>
  <c r="J115" i="158"/>
  <c r="V78" i="159"/>
  <c r="V28" i="159"/>
  <c r="J157" i="156"/>
  <c r="J100" i="101"/>
  <c r="G22" i="96"/>
  <c r="AB102" i="5" l="1"/>
  <c r="C8" i="159"/>
  <c r="D8" i="159"/>
  <c r="E8" i="159"/>
  <c r="F8" i="159"/>
  <c r="G8" i="159"/>
  <c r="H8" i="159"/>
  <c r="I8" i="159"/>
  <c r="J8" i="159"/>
  <c r="K8" i="159"/>
  <c r="L8" i="159"/>
  <c r="M8" i="159"/>
  <c r="N8" i="159"/>
  <c r="O8" i="159"/>
  <c r="P8" i="159"/>
  <c r="Q8" i="159"/>
  <c r="R8" i="159"/>
  <c r="S8" i="159"/>
  <c r="T8" i="159"/>
  <c r="U8" i="159"/>
  <c r="C9" i="159"/>
  <c r="D9" i="159"/>
  <c r="E9" i="159"/>
  <c r="F9" i="159"/>
  <c r="G9" i="159"/>
  <c r="H9" i="159"/>
  <c r="I9" i="159"/>
  <c r="J9" i="159"/>
  <c r="K9" i="159"/>
  <c r="L9" i="159"/>
  <c r="M9" i="159"/>
  <c r="N9" i="159"/>
  <c r="O9" i="159"/>
  <c r="P9" i="159"/>
  <c r="Q9" i="159"/>
  <c r="R9" i="159"/>
  <c r="S9" i="159"/>
  <c r="T9" i="159"/>
  <c r="U9" i="159"/>
  <c r="C10" i="159"/>
  <c r="D10" i="159"/>
  <c r="E10" i="159"/>
  <c r="F10" i="159"/>
  <c r="G10" i="159"/>
  <c r="H10" i="159"/>
  <c r="I10" i="159"/>
  <c r="J10" i="159"/>
  <c r="K10" i="159"/>
  <c r="L10" i="159"/>
  <c r="M10" i="159"/>
  <c r="N10" i="159"/>
  <c r="O10" i="159"/>
  <c r="P10" i="159"/>
  <c r="Q10" i="159"/>
  <c r="R10" i="159"/>
  <c r="S10" i="159"/>
  <c r="T10" i="159"/>
  <c r="U10" i="159"/>
  <c r="C13" i="159"/>
  <c r="D13" i="159"/>
  <c r="E13" i="159"/>
  <c r="F13" i="159"/>
  <c r="G13" i="159"/>
  <c r="H13" i="159"/>
  <c r="I13" i="159"/>
  <c r="J13" i="159"/>
  <c r="K13" i="159"/>
  <c r="L13" i="159"/>
  <c r="M13" i="159"/>
  <c r="N13" i="159"/>
  <c r="O13" i="159"/>
  <c r="P13" i="159"/>
  <c r="Q13" i="159"/>
  <c r="R13" i="159"/>
  <c r="S13" i="159"/>
  <c r="T13" i="159"/>
  <c r="U13" i="159"/>
  <c r="C14" i="159"/>
  <c r="D14" i="159"/>
  <c r="E14" i="159"/>
  <c r="F14" i="159"/>
  <c r="G14" i="159"/>
  <c r="H14" i="159"/>
  <c r="I14" i="159"/>
  <c r="J14" i="159"/>
  <c r="K14" i="159"/>
  <c r="L14" i="159"/>
  <c r="M14" i="159"/>
  <c r="N14" i="159"/>
  <c r="O14" i="159"/>
  <c r="P14" i="159"/>
  <c r="Q14" i="159"/>
  <c r="R14" i="159"/>
  <c r="S14" i="159"/>
  <c r="T14" i="159"/>
  <c r="U14" i="159"/>
  <c r="C15" i="159"/>
  <c r="D15" i="159"/>
  <c r="E15" i="159"/>
  <c r="F15" i="159"/>
  <c r="G15" i="159"/>
  <c r="H15" i="159"/>
  <c r="I15" i="159"/>
  <c r="J15" i="159"/>
  <c r="K15" i="159"/>
  <c r="L15" i="159"/>
  <c r="M15" i="159"/>
  <c r="N15" i="159"/>
  <c r="O15" i="159"/>
  <c r="P15" i="159"/>
  <c r="Q15" i="159"/>
  <c r="R15" i="159"/>
  <c r="S15" i="159"/>
  <c r="T15" i="159"/>
  <c r="U15" i="159"/>
  <c r="C18" i="159"/>
  <c r="D18" i="159"/>
  <c r="E18" i="159"/>
  <c r="F18" i="159"/>
  <c r="G18" i="159"/>
  <c r="H18" i="159"/>
  <c r="I18" i="159"/>
  <c r="J18" i="159"/>
  <c r="K18" i="159"/>
  <c r="L18" i="159"/>
  <c r="M18" i="159"/>
  <c r="N18" i="159"/>
  <c r="O18" i="159"/>
  <c r="P18" i="159"/>
  <c r="Q18" i="159"/>
  <c r="R18" i="159"/>
  <c r="S18" i="159"/>
  <c r="T18" i="159"/>
  <c r="U18" i="159"/>
  <c r="C19" i="159"/>
  <c r="D19" i="159"/>
  <c r="E19" i="159"/>
  <c r="F19" i="159"/>
  <c r="G19" i="159"/>
  <c r="H19" i="159"/>
  <c r="I19" i="159"/>
  <c r="J19" i="159"/>
  <c r="K19" i="159"/>
  <c r="L19" i="159"/>
  <c r="M19" i="159"/>
  <c r="N19" i="159"/>
  <c r="O19" i="159"/>
  <c r="P19" i="159"/>
  <c r="Q19" i="159"/>
  <c r="R19" i="159"/>
  <c r="S19" i="159"/>
  <c r="T19" i="159"/>
  <c r="U19" i="159"/>
  <c r="C20" i="159"/>
  <c r="D20" i="159"/>
  <c r="E20" i="159"/>
  <c r="F20" i="159"/>
  <c r="G20" i="159"/>
  <c r="H20" i="159"/>
  <c r="I20" i="159"/>
  <c r="J20" i="159"/>
  <c r="K20" i="159"/>
  <c r="L20" i="159"/>
  <c r="M20" i="159"/>
  <c r="N20" i="159"/>
  <c r="O20" i="159"/>
  <c r="P20" i="159"/>
  <c r="Q20" i="159"/>
  <c r="R20" i="159"/>
  <c r="S20" i="159"/>
  <c r="T20" i="159"/>
  <c r="U20" i="159"/>
  <c r="C23" i="159"/>
  <c r="D23" i="159"/>
  <c r="E23" i="159"/>
  <c r="F23" i="159"/>
  <c r="G23" i="159"/>
  <c r="H23" i="159"/>
  <c r="I23" i="159"/>
  <c r="J23" i="159"/>
  <c r="K23" i="159"/>
  <c r="L23" i="159"/>
  <c r="M23" i="159"/>
  <c r="N23" i="159"/>
  <c r="O23" i="159"/>
  <c r="P23" i="159"/>
  <c r="Q23" i="159"/>
  <c r="R23" i="159"/>
  <c r="S23" i="159"/>
  <c r="T23" i="159"/>
  <c r="U23" i="159"/>
  <c r="C24" i="159"/>
  <c r="D24" i="159"/>
  <c r="E24" i="159"/>
  <c r="F24" i="159"/>
  <c r="G24" i="159"/>
  <c r="H24" i="159"/>
  <c r="I24" i="159"/>
  <c r="J24" i="159"/>
  <c r="K24" i="159"/>
  <c r="L24" i="159"/>
  <c r="M24" i="159"/>
  <c r="N24" i="159"/>
  <c r="O24" i="159"/>
  <c r="P24" i="159"/>
  <c r="Q24" i="159"/>
  <c r="R24" i="159"/>
  <c r="S24" i="159"/>
  <c r="T24" i="159"/>
  <c r="U24" i="159"/>
  <c r="C25" i="159"/>
  <c r="D25" i="159"/>
  <c r="E25" i="159"/>
  <c r="F25" i="159"/>
  <c r="G25" i="159"/>
  <c r="H25" i="159"/>
  <c r="I25" i="159"/>
  <c r="J25" i="159"/>
  <c r="K25" i="159"/>
  <c r="L25" i="159"/>
  <c r="M25" i="159"/>
  <c r="N25" i="159"/>
  <c r="O25" i="159"/>
  <c r="P25" i="159"/>
  <c r="Q25" i="159"/>
  <c r="R25" i="159"/>
  <c r="S25" i="159"/>
  <c r="T25" i="159"/>
  <c r="U25" i="159"/>
  <c r="U58" i="159"/>
  <c r="U59" i="159"/>
  <c r="U60" i="159"/>
  <c r="U63" i="159"/>
  <c r="U64" i="159"/>
  <c r="U65" i="159"/>
  <c r="U68" i="159"/>
  <c r="U69" i="159"/>
  <c r="U70" i="159"/>
  <c r="U73" i="159"/>
  <c r="U74" i="159"/>
  <c r="U75" i="159"/>
  <c r="U33" i="159"/>
  <c r="U34" i="159"/>
  <c r="U35" i="159"/>
  <c r="U38" i="159"/>
  <c r="U39" i="159"/>
  <c r="U40" i="159"/>
  <c r="U43" i="159"/>
  <c r="U44" i="159"/>
  <c r="U45" i="159"/>
  <c r="U48" i="159"/>
  <c r="U49" i="159"/>
  <c r="U50" i="159"/>
  <c r="U48" i="157"/>
  <c r="U49" i="157"/>
  <c r="U50" i="157"/>
  <c r="U43" i="157"/>
  <c r="U44" i="157"/>
  <c r="U45" i="157"/>
  <c r="U38" i="157"/>
  <c r="U39" i="157"/>
  <c r="U40" i="157"/>
  <c r="U33" i="157"/>
  <c r="U34" i="157"/>
  <c r="U35" i="157"/>
  <c r="U23" i="157"/>
  <c r="U24" i="157"/>
  <c r="U25" i="157"/>
  <c r="U18" i="157"/>
  <c r="U19" i="157"/>
  <c r="U20" i="157"/>
  <c r="U13" i="157"/>
  <c r="U14" i="157"/>
  <c r="U15" i="157"/>
  <c r="U8" i="157"/>
  <c r="U9" i="157"/>
  <c r="U10" i="157"/>
  <c r="U75" i="100"/>
  <c r="U74" i="100"/>
  <c r="U74" i="157" s="1"/>
  <c r="U73" i="100"/>
  <c r="U73" i="157" s="1"/>
  <c r="U70" i="100"/>
  <c r="U70" i="157" s="1"/>
  <c r="U69" i="100"/>
  <c r="U69" i="157" s="1"/>
  <c r="U68" i="100"/>
  <c r="U65" i="100"/>
  <c r="U64" i="100"/>
  <c r="U64" i="157" s="1"/>
  <c r="U63" i="100"/>
  <c r="U63" i="157" s="1"/>
  <c r="U60" i="100"/>
  <c r="U60" i="157" s="1"/>
  <c r="U59" i="100"/>
  <c r="U59" i="157" s="1"/>
  <c r="U58" i="100"/>
  <c r="P21" i="159" l="1"/>
  <c r="P11" i="159"/>
  <c r="H26" i="159"/>
  <c r="H16" i="159"/>
  <c r="P26" i="159"/>
  <c r="P16" i="159"/>
  <c r="T21" i="159"/>
  <c r="L21" i="159"/>
  <c r="H21" i="159"/>
  <c r="D21" i="159"/>
  <c r="T11" i="159"/>
  <c r="L11" i="159"/>
  <c r="H11" i="159"/>
  <c r="D11" i="159"/>
  <c r="U71" i="159"/>
  <c r="U61" i="159"/>
  <c r="U76" i="159"/>
  <c r="U66" i="159"/>
  <c r="T26" i="159"/>
  <c r="L26" i="159"/>
  <c r="D26" i="159"/>
  <c r="T16" i="159"/>
  <c r="L16" i="159"/>
  <c r="D16" i="159"/>
  <c r="R26" i="159"/>
  <c r="N26" i="159"/>
  <c r="J26" i="159"/>
  <c r="F26" i="159"/>
  <c r="R21" i="159"/>
  <c r="N21" i="159"/>
  <c r="J21" i="159"/>
  <c r="F21" i="159"/>
  <c r="R16" i="159"/>
  <c r="N16" i="159"/>
  <c r="J16" i="159"/>
  <c r="F16" i="159"/>
  <c r="R11" i="159"/>
  <c r="N11" i="159"/>
  <c r="J11" i="159"/>
  <c r="F11" i="159"/>
  <c r="R28" i="159"/>
  <c r="N28" i="159"/>
  <c r="J28" i="159"/>
  <c r="F28" i="159"/>
  <c r="U26" i="159"/>
  <c r="S26" i="159"/>
  <c r="Q26" i="159"/>
  <c r="O26" i="159"/>
  <c r="M26" i="159"/>
  <c r="K26" i="159"/>
  <c r="I26" i="159"/>
  <c r="G26" i="159"/>
  <c r="E26" i="159"/>
  <c r="C26" i="159"/>
  <c r="S21" i="159"/>
  <c r="Q21" i="159"/>
  <c r="O21" i="159"/>
  <c r="M21" i="159"/>
  <c r="K21" i="159"/>
  <c r="I21" i="159"/>
  <c r="G21" i="159"/>
  <c r="E21" i="159"/>
  <c r="C21" i="159"/>
  <c r="U16" i="159"/>
  <c r="S16" i="159"/>
  <c r="Q16" i="159"/>
  <c r="O16" i="159"/>
  <c r="M16" i="159"/>
  <c r="K16" i="159"/>
  <c r="I16" i="159"/>
  <c r="G16" i="159"/>
  <c r="E16" i="159"/>
  <c r="S11" i="159"/>
  <c r="Q11" i="159"/>
  <c r="O11" i="159"/>
  <c r="M11" i="159"/>
  <c r="K11" i="159"/>
  <c r="I11" i="159"/>
  <c r="G11" i="159"/>
  <c r="E11" i="159"/>
  <c r="U61" i="100"/>
  <c r="U71" i="100"/>
  <c r="U11" i="159"/>
  <c r="U21" i="159"/>
  <c r="U65" i="157"/>
  <c r="U75" i="157"/>
  <c r="U66" i="100"/>
  <c r="U66" i="157" s="1"/>
  <c r="U76" i="100"/>
  <c r="U58" i="157"/>
  <c r="U68" i="157"/>
  <c r="U51" i="159"/>
  <c r="U41" i="159"/>
  <c r="U46" i="159"/>
  <c r="U36" i="159"/>
  <c r="C16" i="159"/>
  <c r="C11" i="159"/>
  <c r="U26" i="102"/>
  <c r="U21" i="102"/>
  <c r="U16" i="102"/>
  <c r="U11" i="102"/>
  <c r="U36" i="102"/>
  <c r="U41" i="102"/>
  <c r="U46" i="102"/>
  <c r="U51" i="102"/>
  <c r="U76" i="102"/>
  <c r="U71" i="102"/>
  <c r="U66" i="102"/>
  <c r="U61" i="102"/>
  <c r="I150" i="158"/>
  <c r="H150" i="158"/>
  <c r="G150" i="158"/>
  <c r="F150" i="158"/>
  <c r="E150" i="158"/>
  <c r="D150" i="158"/>
  <c r="C150" i="158"/>
  <c r="I149" i="158"/>
  <c r="H149" i="158"/>
  <c r="G149" i="158"/>
  <c r="F149" i="158"/>
  <c r="E149" i="158"/>
  <c r="D149" i="158"/>
  <c r="C149" i="158"/>
  <c r="I148" i="158"/>
  <c r="H148" i="158"/>
  <c r="G148" i="158"/>
  <c r="F148" i="158"/>
  <c r="E148" i="158"/>
  <c r="D148" i="158"/>
  <c r="C148" i="158"/>
  <c r="I145" i="158"/>
  <c r="H145" i="158"/>
  <c r="G145" i="158"/>
  <c r="F145" i="158"/>
  <c r="E145" i="158"/>
  <c r="D145" i="158"/>
  <c r="C145" i="158"/>
  <c r="I144" i="158"/>
  <c r="H144" i="158"/>
  <c r="G144" i="158"/>
  <c r="F144" i="158"/>
  <c r="E144" i="158"/>
  <c r="D144" i="158"/>
  <c r="C144" i="158"/>
  <c r="I143" i="158"/>
  <c r="H143" i="158"/>
  <c r="G143" i="158"/>
  <c r="F143" i="158"/>
  <c r="E143" i="158"/>
  <c r="D143" i="158"/>
  <c r="C143" i="158"/>
  <c r="I140" i="158"/>
  <c r="H140" i="158"/>
  <c r="G140" i="158"/>
  <c r="F140" i="158"/>
  <c r="E140" i="158"/>
  <c r="D140" i="158"/>
  <c r="C140" i="158"/>
  <c r="I139" i="158"/>
  <c r="H139" i="158"/>
  <c r="G139" i="158"/>
  <c r="F139" i="158"/>
  <c r="E139" i="158"/>
  <c r="D139" i="158"/>
  <c r="C139" i="158"/>
  <c r="I138" i="158"/>
  <c r="H138" i="158"/>
  <c r="G138" i="158"/>
  <c r="F138" i="158"/>
  <c r="I135" i="158"/>
  <c r="H135" i="158"/>
  <c r="G135" i="158"/>
  <c r="F135" i="158"/>
  <c r="E135" i="158"/>
  <c r="D135" i="158"/>
  <c r="C135" i="158"/>
  <c r="I134" i="158"/>
  <c r="H134" i="158"/>
  <c r="G134" i="158"/>
  <c r="F134" i="158"/>
  <c r="E134" i="158"/>
  <c r="D134" i="158"/>
  <c r="C134" i="158"/>
  <c r="I133" i="158"/>
  <c r="H133" i="158"/>
  <c r="G133" i="158"/>
  <c r="F133" i="158"/>
  <c r="E133" i="158"/>
  <c r="D133" i="158"/>
  <c r="C133" i="158"/>
  <c r="I152" i="101"/>
  <c r="H152" i="101"/>
  <c r="G152" i="101"/>
  <c r="F152" i="101"/>
  <c r="E152" i="101"/>
  <c r="D152" i="101"/>
  <c r="C152" i="101"/>
  <c r="J151" i="101"/>
  <c r="J149" i="158" s="1"/>
  <c r="J150" i="101"/>
  <c r="J148" i="158" s="1"/>
  <c r="J149" i="101"/>
  <c r="I147" i="101"/>
  <c r="H147" i="101"/>
  <c r="G147" i="101"/>
  <c r="F147" i="101"/>
  <c r="E147" i="101"/>
  <c r="D147" i="101"/>
  <c r="C147" i="101"/>
  <c r="J146" i="101"/>
  <c r="J144" i="158" s="1"/>
  <c r="J145" i="101"/>
  <c r="J143" i="158" s="1"/>
  <c r="J144" i="101"/>
  <c r="I142" i="101"/>
  <c r="H142" i="101"/>
  <c r="G142" i="101"/>
  <c r="F142" i="101"/>
  <c r="J141" i="101"/>
  <c r="J139" i="158" s="1"/>
  <c r="J140" i="101"/>
  <c r="J138" i="158" s="1"/>
  <c r="I137" i="101"/>
  <c r="H137" i="101"/>
  <c r="H131" i="101" s="1"/>
  <c r="G137" i="101"/>
  <c r="F137" i="101"/>
  <c r="F131" i="101" s="1"/>
  <c r="E137" i="101"/>
  <c r="D137" i="101"/>
  <c r="C137" i="101"/>
  <c r="J136" i="101"/>
  <c r="J134" i="158" s="1"/>
  <c r="J135" i="101"/>
  <c r="J133" i="158" s="1"/>
  <c r="J134" i="101"/>
  <c r="I131" i="101"/>
  <c r="G131" i="101"/>
  <c r="U76" i="157"/>
  <c r="U71" i="157"/>
  <c r="U61" i="157"/>
  <c r="U51" i="100"/>
  <c r="U46" i="100"/>
  <c r="U41" i="100"/>
  <c r="U36" i="100"/>
  <c r="U26" i="100"/>
  <c r="U21" i="100"/>
  <c r="U16" i="100"/>
  <c r="U11" i="100"/>
  <c r="U11" i="157" s="1"/>
  <c r="D28" i="159" l="1"/>
  <c r="P28" i="159"/>
  <c r="T28" i="159"/>
  <c r="Q28" i="159"/>
  <c r="L28" i="159"/>
  <c r="C136" i="158"/>
  <c r="E136" i="158"/>
  <c r="G136" i="158"/>
  <c r="I136" i="158"/>
  <c r="G141" i="158"/>
  <c r="I141" i="158"/>
  <c r="D146" i="158"/>
  <c r="F146" i="158"/>
  <c r="H146" i="158"/>
  <c r="E151" i="158"/>
  <c r="G151" i="158"/>
  <c r="I151" i="158"/>
  <c r="U78" i="100"/>
  <c r="H28" i="159"/>
  <c r="U78" i="159"/>
  <c r="U53" i="159"/>
  <c r="I28" i="159"/>
  <c r="U28" i="159"/>
  <c r="E28" i="159"/>
  <c r="M28" i="159"/>
  <c r="G28" i="159"/>
  <c r="K28" i="159"/>
  <c r="O28" i="159"/>
  <c r="S28" i="159"/>
  <c r="D136" i="158"/>
  <c r="F136" i="158"/>
  <c r="H136" i="158"/>
  <c r="F141" i="158"/>
  <c r="H141" i="158"/>
  <c r="C146" i="158"/>
  <c r="E146" i="158"/>
  <c r="G146" i="158"/>
  <c r="I146" i="158"/>
  <c r="D151" i="158"/>
  <c r="F151" i="158"/>
  <c r="H151" i="158"/>
  <c r="U26" i="157"/>
  <c r="U51" i="157"/>
  <c r="U78" i="157"/>
  <c r="C28" i="159"/>
  <c r="U16" i="157"/>
  <c r="U21" i="157"/>
  <c r="U36" i="157"/>
  <c r="U46" i="157"/>
  <c r="U41" i="157"/>
  <c r="U78" i="102"/>
  <c r="U53" i="102"/>
  <c r="U28" i="102"/>
  <c r="J152" i="101"/>
  <c r="J150" i="158" s="1"/>
  <c r="C151" i="158"/>
  <c r="U53" i="100"/>
  <c r="U28" i="100"/>
  <c r="J147" i="101"/>
  <c r="J145" i="158" s="1"/>
  <c r="J137" i="101"/>
  <c r="C233" i="156"/>
  <c r="F233" i="156"/>
  <c r="G233" i="156"/>
  <c r="H233" i="156"/>
  <c r="I233" i="156"/>
  <c r="C208" i="156"/>
  <c r="F208" i="156"/>
  <c r="G208" i="156"/>
  <c r="H208" i="156"/>
  <c r="I208" i="156"/>
  <c r="C183" i="156"/>
  <c r="F183" i="156"/>
  <c r="G183" i="156"/>
  <c r="H183" i="156"/>
  <c r="I183" i="156"/>
  <c r="D104" i="156"/>
  <c r="E104" i="156"/>
  <c r="G104" i="156"/>
  <c r="H104" i="156"/>
  <c r="I104" i="156"/>
  <c r="J104" i="156"/>
  <c r="D79" i="156"/>
  <c r="E79" i="156"/>
  <c r="G79" i="156"/>
  <c r="H79" i="156"/>
  <c r="I79" i="156"/>
  <c r="J79" i="156"/>
  <c r="D54" i="156"/>
  <c r="G54" i="156"/>
  <c r="H54" i="156"/>
  <c r="J54" i="156"/>
  <c r="I27" i="156"/>
  <c r="J234" i="99"/>
  <c r="J209" i="99"/>
  <c r="J146" i="158" l="1"/>
  <c r="J151" i="158"/>
  <c r="I130" i="158"/>
  <c r="G130" i="158"/>
  <c r="U28" i="157"/>
  <c r="F130" i="158"/>
  <c r="J136" i="158"/>
  <c r="H130" i="158"/>
  <c r="U53" i="157"/>
  <c r="D27" i="156"/>
  <c r="I156" i="156"/>
  <c r="G156" i="156"/>
  <c r="C156" i="156"/>
  <c r="J233" i="156"/>
  <c r="F156" i="156"/>
  <c r="H156" i="156"/>
  <c r="G27" i="156"/>
  <c r="J27" i="156"/>
  <c r="J208" i="156"/>
  <c r="J183" i="156"/>
  <c r="H27" i="156"/>
  <c r="J135" i="158"/>
  <c r="E27" i="156"/>
  <c r="J156" i="156" l="1"/>
  <c r="J157" i="99" l="1"/>
  <c r="Q24" i="98"/>
  <c r="V44" i="160" l="1"/>
  <c r="V45" i="160"/>
  <c r="V46" i="160"/>
  <c r="V47" i="160"/>
  <c r="V48" i="160"/>
  <c r="V49" i="160"/>
  <c r="V50" i="160"/>
  <c r="V51" i="160"/>
  <c r="V52" i="160"/>
  <c r="V53" i="160"/>
  <c r="V54" i="160"/>
  <c r="V55" i="160"/>
  <c r="V57" i="160"/>
  <c r="V26" i="160"/>
  <c r="V27" i="160"/>
  <c r="V28" i="160"/>
  <c r="V29" i="160"/>
  <c r="V30" i="160"/>
  <c r="V31" i="160"/>
  <c r="V32" i="160"/>
  <c r="V33" i="160"/>
  <c r="V34" i="160"/>
  <c r="V35" i="160"/>
  <c r="V36" i="160"/>
  <c r="V37" i="160"/>
  <c r="V39" i="160"/>
  <c r="V8" i="160"/>
  <c r="V9" i="160"/>
  <c r="V10" i="160"/>
  <c r="V11" i="160"/>
  <c r="V12" i="160"/>
  <c r="V13" i="160"/>
  <c r="V14" i="160"/>
  <c r="V15" i="160"/>
  <c r="V16" i="160"/>
  <c r="V17" i="160"/>
  <c r="V18" i="160"/>
  <c r="V19" i="160"/>
  <c r="V21" i="160"/>
  <c r="P15" i="155" l="1"/>
  <c r="AB88" i="5"/>
  <c r="T28" i="120" l="1"/>
  <c r="U44" i="160"/>
  <c r="U45" i="160"/>
  <c r="U46" i="160"/>
  <c r="U47" i="160"/>
  <c r="U48" i="160"/>
  <c r="U49" i="160"/>
  <c r="U50" i="160"/>
  <c r="U51" i="160"/>
  <c r="U52" i="160"/>
  <c r="U53" i="160"/>
  <c r="U54" i="160"/>
  <c r="U55" i="160"/>
  <c r="U57" i="160"/>
  <c r="U26" i="160"/>
  <c r="U27" i="160"/>
  <c r="U28" i="160"/>
  <c r="U29" i="160"/>
  <c r="U30" i="160"/>
  <c r="U31" i="160"/>
  <c r="U32" i="160"/>
  <c r="U33" i="160"/>
  <c r="U34" i="160"/>
  <c r="U35" i="160"/>
  <c r="U36" i="160"/>
  <c r="U37" i="160"/>
  <c r="U39" i="160"/>
  <c r="U8" i="160"/>
  <c r="U9" i="160"/>
  <c r="U10" i="160"/>
  <c r="U11" i="160"/>
  <c r="U12" i="160"/>
  <c r="U13" i="160"/>
  <c r="U14" i="160"/>
  <c r="U15" i="160"/>
  <c r="U16" i="160"/>
  <c r="U17" i="160"/>
  <c r="U18" i="160"/>
  <c r="U19" i="160"/>
  <c r="U21" i="160"/>
  <c r="T75" i="159"/>
  <c r="T74" i="159"/>
  <c r="T73" i="159"/>
  <c r="T70" i="159"/>
  <c r="T69" i="159"/>
  <c r="T68" i="159"/>
  <c r="T65" i="159"/>
  <c r="T64" i="159"/>
  <c r="T63" i="159"/>
  <c r="T60" i="159"/>
  <c r="T59" i="159"/>
  <c r="T58" i="159"/>
  <c r="T50" i="159"/>
  <c r="T49" i="159"/>
  <c r="T48" i="159"/>
  <c r="T45" i="159"/>
  <c r="T44" i="159"/>
  <c r="T43" i="159"/>
  <c r="T40" i="159"/>
  <c r="T39" i="159"/>
  <c r="T38" i="159"/>
  <c r="T35" i="159"/>
  <c r="T34" i="159"/>
  <c r="T33" i="159"/>
  <c r="T76" i="102"/>
  <c r="T71" i="102"/>
  <c r="T66" i="102"/>
  <c r="T61" i="102"/>
  <c r="T51" i="102"/>
  <c r="T46" i="102"/>
  <c r="T41" i="102"/>
  <c r="T36" i="102"/>
  <c r="T26" i="102"/>
  <c r="T21" i="102"/>
  <c r="T16" i="102"/>
  <c r="T11" i="102"/>
  <c r="T36" i="159" l="1"/>
  <c r="T46" i="159"/>
  <c r="T61" i="159"/>
  <c r="T71" i="159"/>
  <c r="T28" i="102"/>
  <c r="T41" i="159"/>
  <c r="T51" i="159"/>
  <c r="T53" i="159" s="1"/>
  <c r="T66" i="159"/>
  <c r="T76" i="159"/>
  <c r="T78" i="102"/>
  <c r="T53" i="102"/>
  <c r="I181" i="158"/>
  <c r="H181" i="158"/>
  <c r="G181" i="158"/>
  <c r="F181" i="158"/>
  <c r="E181" i="158"/>
  <c r="D181" i="158"/>
  <c r="C181" i="158"/>
  <c r="I180" i="158"/>
  <c r="H180" i="158"/>
  <c r="G180" i="158"/>
  <c r="F180" i="158"/>
  <c r="E180" i="158"/>
  <c r="D180" i="158"/>
  <c r="C180" i="158"/>
  <c r="I179" i="158"/>
  <c r="H179" i="158"/>
  <c r="G179" i="158"/>
  <c r="F179" i="158"/>
  <c r="E179" i="158"/>
  <c r="D179" i="158"/>
  <c r="C179" i="158"/>
  <c r="I176" i="158"/>
  <c r="H176" i="158"/>
  <c r="G176" i="158"/>
  <c r="F176" i="158"/>
  <c r="E176" i="158"/>
  <c r="D176" i="158"/>
  <c r="C176" i="158"/>
  <c r="I175" i="158"/>
  <c r="H175" i="158"/>
  <c r="G175" i="158"/>
  <c r="F175" i="158"/>
  <c r="E175" i="158"/>
  <c r="D175" i="158"/>
  <c r="C175" i="158"/>
  <c r="I174" i="158"/>
  <c r="H174" i="158"/>
  <c r="G174" i="158"/>
  <c r="F174" i="158"/>
  <c r="E174" i="158"/>
  <c r="D174" i="158"/>
  <c r="C174" i="158"/>
  <c r="I171" i="158"/>
  <c r="H171" i="158"/>
  <c r="G171" i="158"/>
  <c r="F171" i="158"/>
  <c r="E171" i="158"/>
  <c r="D171" i="158"/>
  <c r="C171" i="158"/>
  <c r="I170" i="158"/>
  <c r="H170" i="158"/>
  <c r="G170" i="158"/>
  <c r="F170" i="158"/>
  <c r="E170" i="158"/>
  <c r="D170" i="158"/>
  <c r="C170" i="158"/>
  <c r="I169" i="158"/>
  <c r="H169" i="158"/>
  <c r="G169" i="158"/>
  <c r="F169" i="158"/>
  <c r="E169" i="158"/>
  <c r="D169" i="158"/>
  <c r="C169" i="158"/>
  <c r="I166" i="158"/>
  <c r="H166" i="158"/>
  <c r="G166" i="158"/>
  <c r="F166" i="158"/>
  <c r="E166" i="158"/>
  <c r="D166" i="158"/>
  <c r="C166" i="158"/>
  <c r="I165" i="158"/>
  <c r="H165" i="158"/>
  <c r="G165" i="158"/>
  <c r="F165" i="158"/>
  <c r="E165" i="158"/>
  <c r="D165" i="158"/>
  <c r="C165" i="158"/>
  <c r="I164" i="158"/>
  <c r="H164" i="158"/>
  <c r="G164" i="158"/>
  <c r="F164" i="158"/>
  <c r="E164" i="158"/>
  <c r="D164" i="158"/>
  <c r="C164" i="158"/>
  <c r="I183" i="101"/>
  <c r="H183" i="101"/>
  <c r="G183" i="101"/>
  <c r="F183" i="101"/>
  <c r="E183" i="101"/>
  <c r="D183" i="101"/>
  <c r="C183" i="101"/>
  <c r="J182" i="101"/>
  <c r="J180" i="158" s="1"/>
  <c r="J181" i="101"/>
  <c r="J179" i="158" s="1"/>
  <c r="J180" i="101"/>
  <c r="J183" i="101" s="1"/>
  <c r="J181" i="158" s="1"/>
  <c r="I178" i="101"/>
  <c r="H178" i="101"/>
  <c r="G178" i="101"/>
  <c r="F178" i="101"/>
  <c r="E178" i="101"/>
  <c r="D178" i="101"/>
  <c r="C178" i="101"/>
  <c r="J177" i="101"/>
  <c r="J175" i="158" s="1"/>
  <c r="J176" i="101"/>
  <c r="J174" i="158" s="1"/>
  <c r="J175" i="101"/>
  <c r="I173" i="101"/>
  <c r="H173" i="101"/>
  <c r="G173" i="101"/>
  <c r="F173" i="101"/>
  <c r="E173" i="101"/>
  <c r="D173" i="101"/>
  <c r="C173" i="101"/>
  <c r="J172" i="101"/>
  <c r="J170" i="158" s="1"/>
  <c r="J171" i="101"/>
  <c r="J169" i="158" s="1"/>
  <c r="J170" i="101"/>
  <c r="I168" i="101"/>
  <c r="H168" i="101"/>
  <c r="H162" i="101" s="1"/>
  <c r="G168" i="101"/>
  <c r="F168" i="101"/>
  <c r="F162" i="101" s="1"/>
  <c r="E168" i="101"/>
  <c r="D168" i="101"/>
  <c r="D162" i="101" s="1"/>
  <c r="C168" i="101"/>
  <c r="J167" i="101"/>
  <c r="J165" i="158" s="1"/>
  <c r="J166" i="101"/>
  <c r="J164" i="158" s="1"/>
  <c r="J165" i="101"/>
  <c r="J168" i="101" s="1"/>
  <c r="J166" i="158" s="1"/>
  <c r="I162" i="101"/>
  <c r="G162" i="101"/>
  <c r="E162" i="101"/>
  <c r="T50" i="157"/>
  <c r="T49" i="157"/>
  <c r="T48" i="157"/>
  <c r="T45" i="157"/>
  <c r="T44" i="157"/>
  <c r="T43" i="157"/>
  <c r="T40" i="157"/>
  <c r="T39" i="157"/>
  <c r="T38" i="157"/>
  <c r="T35" i="157"/>
  <c r="T34" i="157"/>
  <c r="T33" i="157"/>
  <c r="T25" i="157"/>
  <c r="T24" i="157"/>
  <c r="T23" i="157"/>
  <c r="T20" i="157"/>
  <c r="T19" i="157"/>
  <c r="T18" i="157"/>
  <c r="T15" i="157"/>
  <c r="T14" i="157"/>
  <c r="T13" i="157"/>
  <c r="T10" i="157"/>
  <c r="T9" i="157"/>
  <c r="T8" i="157"/>
  <c r="T58" i="100"/>
  <c r="T58" i="157" s="1"/>
  <c r="T59" i="100"/>
  <c r="T59" i="157" s="1"/>
  <c r="T60" i="100"/>
  <c r="T60" i="157" s="1"/>
  <c r="T63" i="100"/>
  <c r="T63" i="157" s="1"/>
  <c r="T64" i="100"/>
  <c r="T64" i="157" s="1"/>
  <c r="T65" i="100"/>
  <c r="T65" i="157" s="1"/>
  <c r="T68" i="100"/>
  <c r="T68" i="157" s="1"/>
  <c r="T69" i="100"/>
  <c r="T69" i="157" s="1"/>
  <c r="T70" i="100"/>
  <c r="T70" i="157" s="1"/>
  <c r="T73" i="100"/>
  <c r="T73" i="157" s="1"/>
  <c r="T74" i="100"/>
  <c r="T74" i="157" s="1"/>
  <c r="T75" i="100"/>
  <c r="T75" i="157" s="1"/>
  <c r="T51" i="100"/>
  <c r="T51" i="157" s="1"/>
  <c r="T46" i="100"/>
  <c r="T46" i="157" s="1"/>
  <c r="T41" i="100"/>
  <c r="T41" i="157" s="1"/>
  <c r="T36" i="100"/>
  <c r="T36" i="157" s="1"/>
  <c r="T26" i="100"/>
  <c r="T26" i="157" s="1"/>
  <c r="T21" i="100"/>
  <c r="T21" i="157" s="1"/>
  <c r="T16" i="100"/>
  <c r="T16" i="157" s="1"/>
  <c r="T11" i="100"/>
  <c r="D128" i="156"/>
  <c r="E128" i="156"/>
  <c r="F128" i="156"/>
  <c r="G128" i="156"/>
  <c r="H128" i="156"/>
  <c r="I128" i="156"/>
  <c r="J128" i="156"/>
  <c r="D78" i="156"/>
  <c r="E78" i="156"/>
  <c r="G78" i="156"/>
  <c r="H78" i="156"/>
  <c r="I78" i="156"/>
  <c r="J78" i="156"/>
  <c r="C257" i="156"/>
  <c r="D257" i="156"/>
  <c r="E257" i="156"/>
  <c r="F257" i="156"/>
  <c r="G257" i="156"/>
  <c r="H257" i="156"/>
  <c r="I257" i="156"/>
  <c r="C232" i="156"/>
  <c r="F232" i="156"/>
  <c r="G232" i="156"/>
  <c r="H232" i="156"/>
  <c r="I232" i="156"/>
  <c r="C207" i="156"/>
  <c r="F207" i="156"/>
  <c r="G207" i="156"/>
  <c r="H207" i="156"/>
  <c r="I207" i="156"/>
  <c r="C182" i="156"/>
  <c r="F182" i="156"/>
  <c r="G182" i="156"/>
  <c r="H182" i="156"/>
  <c r="I182" i="156"/>
  <c r="D103" i="156"/>
  <c r="E103" i="156"/>
  <c r="G103" i="156"/>
  <c r="H103" i="156"/>
  <c r="I103" i="156"/>
  <c r="J103" i="156"/>
  <c r="J53" i="156"/>
  <c r="H53" i="156"/>
  <c r="G53" i="156"/>
  <c r="D53" i="156"/>
  <c r="I156" i="99"/>
  <c r="I26" i="156" l="1"/>
  <c r="C167" i="158"/>
  <c r="E167" i="158"/>
  <c r="G167" i="158"/>
  <c r="I167" i="158"/>
  <c r="D172" i="158"/>
  <c r="F172" i="158"/>
  <c r="H172" i="158"/>
  <c r="C177" i="158"/>
  <c r="E177" i="158"/>
  <c r="G177" i="158"/>
  <c r="I177" i="158"/>
  <c r="D182" i="158"/>
  <c r="F182" i="158"/>
  <c r="H182" i="158"/>
  <c r="D167" i="158"/>
  <c r="F167" i="158"/>
  <c r="H167" i="158"/>
  <c r="C172" i="158"/>
  <c r="E172" i="158"/>
  <c r="G172" i="158"/>
  <c r="I172" i="158"/>
  <c r="D177" i="158"/>
  <c r="F177" i="158"/>
  <c r="H177" i="158"/>
  <c r="C182" i="158"/>
  <c r="E182" i="158"/>
  <c r="G182" i="158"/>
  <c r="I182" i="158"/>
  <c r="T28" i="100"/>
  <c r="T53" i="157"/>
  <c r="T53" i="100"/>
  <c r="T11" i="157"/>
  <c r="T28" i="157" s="1"/>
  <c r="T76" i="100"/>
  <c r="T76" i="157" s="1"/>
  <c r="T71" i="100"/>
  <c r="T71" i="157" s="1"/>
  <c r="T66" i="100"/>
  <c r="T66" i="157" s="1"/>
  <c r="T61" i="100"/>
  <c r="T78" i="159"/>
  <c r="H155" i="156"/>
  <c r="F155" i="156"/>
  <c r="D26" i="156"/>
  <c r="I155" i="156"/>
  <c r="G155" i="156"/>
  <c r="C155" i="156"/>
  <c r="J232" i="156"/>
  <c r="J207" i="156"/>
  <c r="G26" i="156"/>
  <c r="J182" i="156"/>
  <c r="J26" i="156"/>
  <c r="H26" i="156"/>
  <c r="C162" i="101"/>
  <c r="J178" i="101"/>
  <c r="J176" i="158" s="1"/>
  <c r="J173" i="101"/>
  <c r="J171" i="158" s="1"/>
  <c r="E26" i="156"/>
  <c r="J233" i="99"/>
  <c r="J208" i="99"/>
  <c r="J183" i="99"/>
  <c r="H156" i="99"/>
  <c r="G156" i="99"/>
  <c r="F156" i="99"/>
  <c r="C156" i="99"/>
  <c r="J26" i="99"/>
  <c r="H26" i="99"/>
  <c r="G26" i="99"/>
  <c r="D26" i="99"/>
  <c r="J258" i="99"/>
  <c r="P20" i="98"/>
  <c r="J167" i="158" l="1"/>
  <c r="J177" i="158"/>
  <c r="G161" i="158"/>
  <c r="F161" i="158"/>
  <c r="I161" i="158"/>
  <c r="E161" i="158"/>
  <c r="J172" i="158"/>
  <c r="C161" i="158"/>
  <c r="J182" i="158"/>
  <c r="H161" i="158"/>
  <c r="D161" i="158"/>
  <c r="T78" i="100"/>
  <c r="T61" i="157"/>
  <c r="T78" i="157" s="1"/>
  <c r="J155" i="156"/>
  <c r="J162" i="101"/>
  <c r="J156" i="99"/>
  <c r="P24" i="98"/>
  <c r="J161" i="158" l="1"/>
  <c r="K88" i="106"/>
  <c r="J88" i="106"/>
  <c r="I88" i="106"/>
  <c r="H88" i="106"/>
  <c r="G88" i="106"/>
  <c r="F88" i="106"/>
  <c r="E88" i="106"/>
  <c r="D88" i="106"/>
  <c r="C88" i="106"/>
  <c r="K70" i="106"/>
  <c r="J70" i="106"/>
  <c r="I70" i="106"/>
  <c r="H70" i="106"/>
  <c r="G70" i="106"/>
  <c r="F70" i="106"/>
  <c r="E70" i="106"/>
  <c r="D70" i="106"/>
  <c r="C70" i="106"/>
  <c r="AB74" i="5"/>
  <c r="T27" i="120"/>
  <c r="T44" i="160"/>
  <c r="T45" i="160"/>
  <c r="T46" i="160"/>
  <c r="T47" i="160"/>
  <c r="T48" i="160"/>
  <c r="T49" i="160"/>
  <c r="T50" i="160"/>
  <c r="T51" i="160"/>
  <c r="T52" i="160"/>
  <c r="T53" i="160"/>
  <c r="T54" i="160"/>
  <c r="T55" i="160"/>
  <c r="T57" i="160"/>
  <c r="T26" i="160"/>
  <c r="T27" i="160"/>
  <c r="T28" i="160"/>
  <c r="T29" i="160"/>
  <c r="T30" i="160"/>
  <c r="T31" i="160"/>
  <c r="T32" i="160"/>
  <c r="T33" i="160"/>
  <c r="T34" i="160"/>
  <c r="T35" i="160"/>
  <c r="T36" i="160"/>
  <c r="T37" i="160"/>
  <c r="T39" i="160"/>
  <c r="T8" i="160"/>
  <c r="T9" i="160"/>
  <c r="T10" i="160"/>
  <c r="T11" i="160"/>
  <c r="T12" i="160"/>
  <c r="T13" i="160"/>
  <c r="T14" i="160"/>
  <c r="T15" i="160"/>
  <c r="T16" i="160"/>
  <c r="T17" i="160"/>
  <c r="T18" i="160"/>
  <c r="T19" i="160"/>
  <c r="T21" i="160"/>
  <c r="C58" i="159"/>
  <c r="C59" i="159"/>
  <c r="C60" i="159"/>
  <c r="C63" i="159"/>
  <c r="C64" i="159"/>
  <c r="C65" i="159"/>
  <c r="C68" i="159"/>
  <c r="C69" i="159"/>
  <c r="C70" i="159"/>
  <c r="C73" i="159"/>
  <c r="C74" i="159"/>
  <c r="C75" i="159"/>
  <c r="S58" i="159"/>
  <c r="S59" i="159"/>
  <c r="S60" i="159"/>
  <c r="S63" i="159"/>
  <c r="S64" i="159"/>
  <c r="S65" i="159"/>
  <c r="S68" i="159"/>
  <c r="S69" i="159"/>
  <c r="S70" i="159"/>
  <c r="S73" i="159"/>
  <c r="S74" i="159"/>
  <c r="S75" i="159"/>
  <c r="C33" i="159"/>
  <c r="C34" i="159"/>
  <c r="C35" i="159"/>
  <c r="C38" i="159"/>
  <c r="C39" i="159"/>
  <c r="C40" i="159"/>
  <c r="C43" i="159"/>
  <c r="C44" i="159"/>
  <c r="C45" i="159"/>
  <c r="C48" i="159"/>
  <c r="C49" i="159"/>
  <c r="C50" i="159"/>
  <c r="S33" i="159"/>
  <c r="S34" i="159"/>
  <c r="S35" i="159"/>
  <c r="S38" i="159"/>
  <c r="S39" i="159"/>
  <c r="S40" i="159"/>
  <c r="S43" i="159"/>
  <c r="S44" i="159"/>
  <c r="S45" i="159"/>
  <c r="S48" i="159"/>
  <c r="S49" i="159"/>
  <c r="S50" i="159"/>
  <c r="S76" i="102"/>
  <c r="S71" i="102"/>
  <c r="S66" i="102"/>
  <c r="S61" i="102"/>
  <c r="S51" i="102"/>
  <c r="S46" i="102"/>
  <c r="S41" i="102"/>
  <c r="S36" i="102"/>
  <c r="S26" i="102"/>
  <c r="S21" i="102"/>
  <c r="S16" i="102"/>
  <c r="S11" i="102"/>
  <c r="C210" i="158"/>
  <c r="C211" i="158"/>
  <c r="C212" i="158"/>
  <c r="D210" i="158"/>
  <c r="D211" i="158"/>
  <c r="D212" i="158"/>
  <c r="E210" i="158"/>
  <c r="E211" i="158"/>
  <c r="E212" i="158"/>
  <c r="F210" i="158"/>
  <c r="F211" i="158"/>
  <c r="F212" i="158"/>
  <c r="G210" i="158"/>
  <c r="G211" i="158"/>
  <c r="G212" i="158"/>
  <c r="H210" i="158"/>
  <c r="H211" i="158"/>
  <c r="H212" i="158"/>
  <c r="I210" i="158"/>
  <c r="I211" i="158"/>
  <c r="I212" i="158"/>
  <c r="C205" i="158"/>
  <c r="C206" i="158"/>
  <c r="C207" i="158"/>
  <c r="D205" i="158"/>
  <c r="D206" i="158"/>
  <c r="D207" i="158"/>
  <c r="E205" i="158"/>
  <c r="E206" i="158"/>
  <c r="E207" i="158"/>
  <c r="F205" i="158"/>
  <c r="F206" i="158"/>
  <c r="F207" i="158"/>
  <c r="G205" i="158"/>
  <c r="G206" i="158"/>
  <c r="G207" i="158"/>
  <c r="H205" i="158"/>
  <c r="H206" i="158"/>
  <c r="H207" i="158"/>
  <c r="I205" i="158"/>
  <c r="I206" i="158"/>
  <c r="I207" i="158"/>
  <c r="C200" i="158"/>
  <c r="C201" i="158"/>
  <c r="C202" i="158"/>
  <c r="D200" i="158"/>
  <c r="D201" i="158"/>
  <c r="D202" i="158"/>
  <c r="E200" i="158"/>
  <c r="E201" i="158"/>
  <c r="E202" i="158"/>
  <c r="F200" i="158"/>
  <c r="F201" i="158"/>
  <c r="F202" i="158"/>
  <c r="G200" i="158"/>
  <c r="G201" i="158"/>
  <c r="G202" i="158"/>
  <c r="H200" i="158"/>
  <c r="H201" i="158"/>
  <c r="H202" i="158"/>
  <c r="I200" i="158"/>
  <c r="I201" i="158"/>
  <c r="I202" i="158"/>
  <c r="C195" i="158"/>
  <c r="C196" i="158"/>
  <c r="C197" i="158"/>
  <c r="D195" i="158"/>
  <c r="D196" i="158"/>
  <c r="D197" i="158"/>
  <c r="E195" i="158"/>
  <c r="E196" i="158"/>
  <c r="E197" i="158"/>
  <c r="F195" i="158"/>
  <c r="F196" i="158"/>
  <c r="F197" i="158"/>
  <c r="G195" i="158"/>
  <c r="G196" i="158"/>
  <c r="G197" i="158"/>
  <c r="H195" i="158"/>
  <c r="H196" i="158"/>
  <c r="H197" i="158"/>
  <c r="I195" i="158"/>
  <c r="I196" i="158"/>
  <c r="I197" i="158"/>
  <c r="J211" i="101"/>
  <c r="J212" i="101"/>
  <c r="J210" i="158" s="1"/>
  <c r="J213" i="101"/>
  <c r="J211" i="158" s="1"/>
  <c r="I214" i="101"/>
  <c r="H214" i="101"/>
  <c r="G214" i="101"/>
  <c r="F214" i="101"/>
  <c r="E214" i="101"/>
  <c r="D214" i="101"/>
  <c r="C214" i="101"/>
  <c r="J206" i="101"/>
  <c r="J207" i="101"/>
  <c r="J205" i="158" s="1"/>
  <c r="J208" i="101"/>
  <c r="J206" i="158" s="1"/>
  <c r="I209" i="101"/>
  <c r="H209" i="101"/>
  <c r="G209" i="101"/>
  <c r="F209" i="101"/>
  <c r="E209" i="101"/>
  <c r="D209" i="101"/>
  <c r="C209" i="101"/>
  <c r="J201" i="101"/>
  <c r="J202" i="101"/>
  <c r="J200" i="158" s="1"/>
  <c r="J203" i="101"/>
  <c r="J201" i="158" s="1"/>
  <c r="I204" i="101"/>
  <c r="H204" i="101"/>
  <c r="G204" i="101"/>
  <c r="F204" i="101"/>
  <c r="E204" i="101"/>
  <c r="D204" i="101"/>
  <c r="C204" i="101"/>
  <c r="J196" i="101"/>
  <c r="J197" i="101"/>
  <c r="J195" i="158" s="1"/>
  <c r="J198" i="101"/>
  <c r="J196" i="158" s="1"/>
  <c r="I199" i="101"/>
  <c r="H199" i="101"/>
  <c r="H193" i="101" s="1"/>
  <c r="G199" i="101"/>
  <c r="F199" i="101"/>
  <c r="F193" i="101" s="1"/>
  <c r="E199" i="101"/>
  <c r="D199" i="101"/>
  <c r="D193" i="101" s="1"/>
  <c r="C199" i="101"/>
  <c r="I193" i="101"/>
  <c r="G193" i="101"/>
  <c r="E193" i="101"/>
  <c r="C193" i="101"/>
  <c r="C33" i="157"/>
  <c r="C34" i="157"/>
  <c r="C35" i="157"/>
  <c r="C38" i="157"/>
  <c r="C39" i="157"/>
  <c r="C40" i="157"/>
  <c r="C43" i="157"/>
  <c r="C44" i="157"/>
  <c r="C45" i="157"/>
  <c r="C48" i="157"/>
  <c r="C49" i="157"/>
  <c r="C50" i="157"/>
  <c r="S50" i="157"/>
  <c r="S49" i="157"/>
  <c r="S48" i="157"/>
  <c r="S45" i="157"/>
  <c r="S44" i="157"/>
  <c r="S43" i="157"/>
  <c r="S40" i="157"/>
  <c r="S39" i="157"/>
  <c r="S38" i="157"/>
  <c r="S35" i="157"/>
  <c r="S34" i="157"/>
  <c r="S33" i="157"/>
  <c r="C8" i="157"/>
  <c r="C9" i="157"/>
  <c r="C10" i="157"/>
  <c r="C13" i="157"/>
  <c r="C14" i="157"/>
  <c r="C15" i="157"/>
  <c r="C18" i="157"/>
  <c r="C19" i="157"/>
  <c r="C20" i="157"/>
  <c r="C23" i="157"/>
  <c r="C24" i="157"/>
  <c r="C25" i="157"/>
  <c r="S25" i="157"/>
  <c r="S24" i="157"/>
  <c r="S23" i="157"/>
  <c r="S20" i="157"/>
  <c r="S19" i="157"/>
  <c r="S18" i="157"/>
  <c r="S15" i="157"/>
  <c r="S14" i="157"/>
  <c r="S13" i="157"/>
  <c r="S9" i="157"/>
  <c r="S10" i="157"/>
  <c r="S8" i="157"/>
  <c r="S58" i="100"/>
  <c r="S58" i="157" s="1"/>
  <c r="S59" i="100"/>
  <c r="S59" i="157" s="1"/>
  <c r="S60" i="100"/>
  <c r="S60" i="157" s="1"/>
  <c r="S63" i="100"/>
  <c r="S63" i="157" s="1"/>
  <c r="S64" i="100"/>
  <c r="S64" i="157" s="1"/>
  <c r="S65" i="100"/>
  <c r="S65" i="157" s="1"/>
  <c r="S68" i="100"/>
  <c r="S68" i="157" s="1"/>
  <c r="S69" i="100"/>
  <c r="S69" i="157" s="1"/>
  <c r="S70" i="100"/>
  <c r="S70" i="157" s="1"/>
  <c r="S73" i="100"/>
  <c r="S73" i="157" s="1"/>
  <c r="S74" i="100"/>
  <c r="S74" i="157" s="1"/>
  <c r="S75" i="100"/>
  <c r="S75" i="157" s="1"/>
  <c r="S51" i="100"/>
  <c r="S51" i="157" s="1"/>
  <c r="S46" i="100"/>
  <c r="S46" i="157" s="1"/>
  <c r="S41" i="100"/>
  <c r="S41" i="157" s="1"/>
  <c r="S36" i="100"/>
  <c r="S36" i="157" s="1"/>
  <c r="S16" i="100"/>
  <c r="S16" i="157" s="1"/>
  <c r="S26" i="100"/>
  <c r="S26" i="157" s="1"/>
  <c r="S21" i="100"/>
  <c r="S11" i="100"/>
  <c r="S11" i="157" s="1"/>
  <c r="D52" i="156"/>
  <c r="D77" i="156"/>
  <c r="D102" i="156"/>
  <c r="D127" i="156"/>
  <c r="E77" i="156"/>
  <c r="E102" i="156"/>
  <c r="E127" i="156"/>
  <c r="G52" i="156"/>
  <c r="G77" i="156"/>
  <c r="G102" i="156"/>
  <c r="G127" i="156"/>
  <c r="H52" i="156"/>
  <c r="H77" i="156"/>
  <c r="H102" i="156"/>
  <c r="H127" i="156"/>
  <c r="I77" i="156"/>
  <c r="I102" i="156"/>
  <c r="I127" i="156"/>
  <c r="J52" i="156"/>
  <c r="J77" i="156"/>
  <c r="J102" i="156"/>
  <c r="J127" i="156"/>
  <c r="C181" i="156"/>
  <c r="C206" i="156"/>
  <c r="C231" i="156"/>
  <c r="C256" i="156"/>
  <c r="F181" i="156"/>
  <c r="F206" i="156"/>
  <c r="F231" i="156"/>
  <c r="F256" i="156"/>
  <c r="G181" i="156"/>
  <c r="G206" i="156"/>
  <c r="G231" i="156"/>
  <c r="G256" i="156"/>
  <c r="H181" i="156"/>
  <c r="H206" i="156"/>
  <c r="H231" i="156"/>
  <c r="H256" i="156"/>
  <c r="I181" i="156"/>
  <c r="I206" i="156"/>
  <c r="I231" i="156"/>
  <c r="I256" i="156"/>
  <c r="C36" i="156"/>
  <c r="C61" i="156"/>
  <c r="C86" i="156"/>
  <c r="C111" i="156"/>
  <c r="D36" i="156"/>
  <c r="D61" i="156"/>
  <c r="D86" i="156"/>
  <c r="D111" i="156"/>
  <c r="F36" i="156"/>
  <c r="F61" i="156"/>
  <c r="F86" i="156"/>
  <c r="F111" i="156"/>
  <c r="G36" i="156"/>
  <c r="G61" i="156"/>
  <c r="G86" i="156"/>
  <c r="G111" i="156"/>
  <c r="H36" i="156"/>
  <c r="H61" i="156"/>
  <c r="H86" i="156"/>
  <c r="H111" i="156"/>
  <c r="I36" i="156"/>
  <c r="I61" i="156"/>
  <c r="I86" i="156"/>
  <c r="I111" i="156"/>
  <c r="J36" i="156"/>
  <c r="J61" i="156"/>
  <c r="J86" i="156"/>
  <c r="J111" i="156"/>
  <c r="C165" i="156"/>
  <c r="C190" i="156"/>
  <c r="C215" i="156"/>
  <c r="C240" i="156"/>
  <c r="D165" i="156"/>
  <c r="D190" i="156"/>
  <c r="D215" i="156"/>
  <c r="D240" i="156"/>
  <c r="F165" i="156"/>
  <c r="F190" i="156"/>
  <c r="F215" i="156"/>
  <c r="F240" i="156"/>
  <c r="G165" i="156"/>
  <c r="G190" i="156"/>
  <c r="G215" i="156"/>
  <c r="G240" i="156"/>
  <c r="I170" i="156"/>
  <c r="I195" i="156"/>
  <c r="I220" i="156"/>
  <c r="I245" i="156"/>
  <c r="H169" i="156"/>
  <c r="H194" i="156"/>
  <c r="H219" i="156"/>
  <c r="H244" i="156"/>
  <c r="D256" i="156"/>
  <c r="E256" i="156"/>
  <c r="F127" i="156"/>
  <c r="J257" i="99"/>
  <c r="J232" i="99"/>
  <c r="J207" i="99"/>
  <c r="J182" i="99"/>
  <c r="I155" i="99"/>
  <c r="H155" i="99"/>
  <c r="G155" i="99"/>
  <c r="F155" i="99"/>
  <c r="C155" i="99"/>
  <c r="J25" i="99"/>
  <c r="H25" i="99"/>
  <c r="G25" i="99"/>
  <c r="D25" i="99"/>
  <c r="O20" i="98"/>
  <c r="O24" i="98" s="1"/>
  <c r="N24" i="98"/>
  <c r="D24" i="98"/>
  <c r="E24" i="98"/>
  <c r="F24" i="98"/>
  <c r="G24" i="98"/>
  <c r="H24" i="98"/>
  <c r="I24" i="98"/>
  <c r="J24" i="98"/>
  <c r="K24" i="98"/>
  <c r="L24" i="98"/>
  <c r="M24" i="98"/>
  <c r="C24" i="98"/>
  <c r="J39" i="98"/>
  <c r="J42" i="98"/>
  <c r="J49" i="98"/>
  <c r="J53" i="98" s="1"/>
  <c r="I43" i="98"/>
  <c r="I47" i="98"/>
  <c r="I53" i="98"/>
  <c r="I55" i="98"/>
  <c r="H43" i="98"/>
  <c r="H47" i="98"/>
  <c r="H53" i="98"/>
  <c r="H55" i="98"/>
  <c r="G43" i="98"/>
  <c r="G47" i="98"/>
  <c r="G53" i="98"/>
  <c r="G55" i="98"/>
  <c r="F43" i="98"/>
  <c r="F47" i="98"/>
  <c r="F53" i="98"/>
  <c r="F55" i="98"/>
  <c r="E43" i="98"/>
  <c r="E47" i="98"/>
  <c r="E53" i="98"/>
  <c r="E55" i="98"/>
  <c r="D43" i="98"/>
  <c r="D47" i="98"/>
  <c r="D53" i="98"/>
  <c r="D55" i="98"/>
  <c r="C43" i="98"/>
  <c r="C47" i="98"/>
  <c r="C53" i="98"/>
  <c r="C55" i="98"/>
  <c r="AB60" i="5"/>
  <c r="M23" i="155"/>
  <c r="T26" i="120"/>
  <c r="S44" i="160"/>
  <c r="S45" i="160"/>
  <c r="S46" i="160"/>
  <c r="S47" i="160"/>
  <c r="S48" i="160"/>
  <c r="S49" i="160"/>
  <c r="S50" i="160"/>
  <c r="S51" i="160"/>
  <c r="S52" i="160"/>
  <c r="S53" i="160"/>
  <c r="S54" i="160"/>
  <c r="S55" i="160"/>
  <c r="S57" i="160"/>
  <c r="S26" i="160"/>
  <c r="S27" i="160"/>
  <c r="S28" i="160"/>
  <c r="S29" i="160"/>
  <c r="S30" i="160"/>
  <c r="S31" i="160"/>
  <c r="S32" i="160"/>
  <c r="S33" i="160"/>
  <c r="S34" i="160"/>
  <c r="S35" i="160"/>
  <c r="S36" i="160"/>
  <c r="S37" i="160"/>
  <c r="S39" i="160"/>
  <c r="S8" i="160"/>
  <c r="S9" i="160"/>
  <c r="S10" i="160"/>
  <c r="S11" i="160"/>
  <c r="S12" i="160"/>
  <c r="S13" i="160"/>
  <c r="S14" i="160"/>
  <c r="S15" i="160"/>
  <c r="S16" i="160"/>
  <c r="S17" i="160"/>
  <c r="S18" i="160"/>
  <c r="S19" i="160"/>
  <c r="S21" i="160"/>
  <c r="R58" i="159"/>
  <c r="R59" i="159"/>
  <c r="R60" i="159"/>
  <c r="R63" i="159"/>
  <c r="R64" i="159"/>
  <c r="R65" i="159"/>
  <c r="R68" i="159"/>
  <c r="R69" i="159"/>
  <c r="R70" i="159"/>
  <c r="R73" i="159"/>
  <c r="R74" i="159"/>
  <c r="R75" i="159"/>
  <c r="R33" i="159"/>
  <c r="R34" i="159"/>
  <c r="R35" i="159"/>
  <c r="R38" i="159"/>
  <c r="R39" i="159"/>
  <c r="R40" i="159"/>
  <c r="R43" i="159"/>
  <c r="R44" i="159"/>
  <c r="R45" i="159"/>
  <c r="R48" i="159"/>
  <c r="R49" i="159"/>
  <c r="R50" i="159"/>
  <c r="R76" i="102"/>
  <c r="R71" i="102"/>
  <c r="R66" i="102"/>
  <c r="R61" i="102"/>
  <c r="R78" i="102" s="1"/>
  <c r="R51" i="102"/>
  <c r="R46" i="102"/>
  <c r="R41" i="102"/>
  <c r="R36" i="102"/>
  <c r="R53" i="102" s="1"/>
  <c r="R26" i="102"/>
  <c r="R21" i="102"/>
  <c r="R16" i="102"/>
  <c r="R11" i="102"/>
  <c r="R28" i="102" s="1"/>
  <c r="C241" i="158"/>
  <c r="C242" i="158"/>
  <c r="C243" i="158"/>
  <c r="D241" i="158"/>
  <c r="D242" i="158"/>
  <c r="D243" i="158"/>
  <c r="E241" i="158"/>
  <c r="E242" i="158"/>
  <c r="E243" i="158"/>
  <c r="F241" i="158"/>
  <c r="F242" i="158"/>
  <c r="F243" i="158"/>
  <c r="G241" i="158"/>
  <c r="G242" i="158"/>
  <c r="G243" i="158"/>
  <c r="H241" i="158"/>
  <c r="H242" i="158"/>
  <c r="H243" i="158"/>
  <c r="I241" i="158"/>
  <c r="I242" i="158"/>
  <c r="I243" i="158"/>
  <c r="C236" i="158"/>
  <c r="C237" i="158"/>
  <c r="C238" i="158"/>
  <c r="D236" i="158"/>
  <c r="D237" i="158"/>
  <c r="D238" i="158"/>
  <c r="E236" i="158"/>
  <c r="E237" i="158"/>
  <c r="E238" i="158"/>
  <c r="F236" i="158"/>
  <c r="F237" i="158"/>
  <c r="F238" i="158"/>
  <c r="G236" i="158"/>
  <c r="G237" i="158"/>
  <c r="G238" i="158"/>
  <c r="H236" i="158"/>
  <c r="H237" i="158"/>
  <c r="H238" i="158"/>
  <c r="I236" i="158"/>
  <c r="I237" i="158"/>
  <c r="I238" i="158"/>
  <c r="C231" i="158"/>
  <c r="C232" i="158"/>
  <c r="C233" i="158"/>
  <c r="D231" i="158"/>
  <c r="D232" i="158"/>
  <c r="D233" i="158"/>
  <c r="E231" i="158"/>
  <c r="E232" i="158"/>
  <c r="E233" i="158"/>
  <c r="F231" i="158"/>
  <c r="F232" i="158"/>
  <c r="F233" i="158"/>
  <c r="G231" i="158"/>
  <c r="G232" i="158"/>
  <c r="G233" i="158"/>
  <c r="H231" i="158"/>
  <c r="H232" i="158"/>
  <c r="H233" i="158"/>
  <c r="I231" i="158"/>
  <c r="I232" i="158"/>
  <c r="I233" i="158"/>
  <c r="C226" i="158"/>
  <c r="C227" i="158"/>
  <c r="C228" i="158"/>
  <c r="D226" i="158"/>
  <c r="D227" i="158"/>
  <c r="D228" i="158"/>
  <c r="E226" i="158"/>
  <c r="E227" i="158"/>
  <c r="E228" i="158"/>
  <c r="F226" i="158"/>
  <c r="F227" i="158"/>
  <c r="F228" i="158"/>
  <c r="G226" i="158"/>
  <c r="G227" i="158"/>
  <c r="G228" i="158"/>
  <c r="H226" i="158"/>
  <c r="H227" i="158"/>
  <c r="H228" i="158"/>
  <c r="I226" i="158"/>
  <c r="I227" i="158"/>
  <c r="I228" i="158"/>
  <c r="J242" i="101"/>
  <c r="J243" i="101"/>
  <c r="J241" i="158" s="1"/>
  <c r="J244" i="101"/>
  <c r="J242" i="158" s="1"/>
  <c r="I245" i="101"/>
  <c r="H245" i="101"/>
  <c r="G245" i="101"/>
  <c r="F245" i="101"/>
  <c r="E245" i="101"/>
  <c r="D245" i="101"/>
  <c r="C245" i="101"/>
  <c r="J237" i="101"/>
  <c r="J238" i="101"/>
  <c r="J236" i="158" s="1"/>
  <c r="J239" i="101"/>
  <c r="J237" i="158" s="1"/>
  <c r="I240" i="101"/>
  <c r="H240" i="101"/>
  <c r="G240" i="101"/>
  <c r="F240" i="101"/>
  <c r="E240" i="101"/>
  <c r="D240" i="101"/>
  <c r="C240" i="101"/>
  <c r="J232" i="101"/>
  <c r="J233" i="101"/>
  <c r="J231" i="158" s="1"/>
  <c r="J234" i="101"/>
  <c r="J232" i="158" s="1"/>
  <c r="I235" i="101"/>
  <c r="H235" i="101"/>
  <c r="G235" i="101"/>
  <c r="F235" i="101"/>
  <c r="E235" i="101"/>
  <c r="D235" i="101"/>
  <c r="C235" i="101"/>
  <c r="J227" i="101"/>
  <c r="J228" i="101"/>
  <c r="J226" i="158" s="1"/>
  <c r="J229" i="101"/>
  <c r="J227" i="158" s="1"/>
  <c r="I230" i="101"/>
  <c r="H230" i="101"/>
  <c r="G230" i="101"/>
  <c r="F230" i="101"/>
  <c r="F224" i="101" s="1"/>
  <c r="E230" i="101"/>
  <c r="D230" i="101"/>
  <c r="D224" i="101" s="1"/>
  <c r="C230" i="101"/>
  <c r="H224" i="101"/>
  <c r="R33" i="157"/>
  <c r="R34" i="157"/>
  <c r="R35" i="157"/>
  <c r="R38" i="157"/>
  <c r="R39" i="157"/>
  <c r="R40" i="157"/>
  <c r="R43" i="157"/>
  <c r="R44" i="157"/>
  <c r="R45" i="157"/>
  <c r="R48" i="157"/>
  <c r="R49" i="157"/>
  <c r="R50" i="157"/>
  <c r="R8" i="157"/>
  <c r="R9" i="157"/>
  <c r="R10" i="157"/>
  <c r="R13" i="157"/>
  <c r="R14" i="157"/>
  <c r="R15" i="157"/>
  <c r="R18" i="157"/>
  <c r="R19" i="157"/>
  <c r="R20" i="157"/>
  <c r="R23" i="157"/>
  <c r="R24" i="157"/>
  <c r="R25" i="157"/>
  <c r="R58" i="100"/>
  <c r="R58" i="157" s="1"/>
  <c r="R59" i="100"/>
  <c r="R59" i="157" s="1"/>
  <c r="R60" i="100"/>
  <c r="R60" i="157" s="1"/>
  <c r="R63" i="100"/>
  <c r="R63" i="157" s="1"/>
  <c r="R64" i="100"/>
  <c r="R64" i="157" s="1"/>
  <c r="R65" i="100"/>
  <c r="R65" i="157" s="1"/>
  <c r="R68" i="100"/>
  <c r="R68" i="157" s="1"/>
  <c r="R69" i="100"/>
  <c r="R69" i="157" s="1"/>
  <c r="R70" i="100"/>
  <c r="R70" i="157" s="1"/>
  <c r="R73" i="100"/>
  <c r="R73" i="157" s="1"/>
  <c r="R74" i="100"/>
  <c r="R74" i="157" s="1"/>
  <c r="R75" i="100"/>
  <c r="R75" i="157" s="1"/>
  <c r="R51" i="100"/>
  <c r="R46" i="100"/>
  <c r="R41" i="100"/>
  <c r="R36" i="100"/>
  <c r="R11" i="100"/>
  <c r="R16" i="100"/>
  <c r="R21" i="100"/>
  <c r="R26" i="100"/>
  <c r="D51" i="156"/>
  <c r="D76" i="156"/>
  <c r="D101" i="156"/>
  <c r="D126" i="156"/>
  <c r="E51" i="156"/>
  <c r="E76" i="156"/>
  <c r="E101" i="156"/>
  <c r="E126" i="156"/>
  <c r="G51" i="156"/>
  <c r="G76" i="156"/>
  <c r="G101" i="156"/>
  <c r="G126" i="156"/>
  <c r="H51" i="156"/>
  <c r="H76" i="156"/>
  <c r="H101" i="156"/>
  <c r="H126" i="156"/>
  <c r="I51" i="156"/>
  <c r="I76" i="156"/>
  <c r="I101" i="156"/>
  <c r="I126" i="156"/>
  <c r="J51" i="156"/>
  <c r="J76" i="156"/>
  <c r="J101" i="156"/>
  <c r="J126" i="156"/>
  <c r="C180" i="156"/>
  <c r="C205" i="156"/>
  <c r="C230" i="156"/>
  <c r="C255" i="156"/>
  <c r="G180" i="156"/>
  <c r="G205" i="156"/>
  <c r="G230" i="156"/>
  <c r="G255" i="156"/>
  <c r="H180" i="156"/>
  <c r="H205" i="156"/>
  <c r="H230" i="156"/>
  <c r="H255" i="156"/>
  <c r="I180" i="156"/>
  <c r="I205" i="156"/>
  <c r="I230" i="156"/>
  <c r="I255" i="156"/>
  <c r="D255" i="156"/>
  <c r="E255" i="156"/>
  <c r="D254" i="156"/>
  <c r="E254" i="156"/>
  <c r="G254" i="156"/>
  <c r="H254" i="156"/>
  <c r="I254" i="156"/>
  <c r="C254" i="156"/>
  <c r="F51" i="156"/>
  <c r="E125" i="156"/>
  <c r="F125" i="156"/>
  <c r="G125" i="156"/>
  <c r="H125" i="156"/>
  <c r="I125" i="156"/>
  <c r="J125" i="156"/>
  <c r="D125" i="156"/>
  <c r="F126" i="156"/>
  <c r="D24" i="99"/>
  <c r="G24" i="99"/>
  <c r="H24" i="99"/>
  <c r="J24" i="99"/>
  <c r="C154" i="99"/>
  <c r="G154" i="99"/>
  <c r="H154" i="99"/>
  <c r="I154" i="99"/>
  <c r="C9" i="99"/>
  <c r="D9" i="99"/>
  <c r="F9" i="99"/>
  <c r="G9" i="99"/>
  <c r="H9" i="99"/>
  <c r="I9" i="99"/>
  <c r="J9" i="99"/>
  <c r="C139" i="99"/>
  <c r="D139" i="99"/>
  <c r="F139" i="99"/>
  <c r="G139" i="99"/>
  <c r="I144" i="99"/>
  <c r="H143" i="99"/>
  <c r="I153" i="99"/>
  <c r="H153" i="99"/>
  <c r="G153" i="99"/>
  <c r="F256" i="99"/>
  <c r="F231" i="99"/>
  <c r="F230" i="156" s="1"/>
  <c r="F206" i="99"/>
  <c r="F205" i="156" s="1"/>
  <c r="F181" i="99"/>
  <c r="F180" i="156" s="1"/>
  <c r="C153" i="99"/>
  <c r="J23" i="99"/>
  <c r="G23" i="99"/>
  <c r="H23" i="99"/>
  <c r="E23" i="99"/>
  <c r="E24" i="99"/>
  <c r="D23" i="99"/>
  <c r="F255" i="99"/>
  <c r="E100" i="156"/>
  <c r="AB46" i="5"/>
  <c r="T25" i="120"/>
  <c r="R57" i="160"/>
  <c r="R55" i="160"/>
  <c r="R54" i="160"/>
  <c r="R53" i="160"/>
  <c r="R52" i="160"/>
  <c r="R51" i="160"/>
  <c r="R50" i="160"/>
  <c r="R49" i="160"/>
  <c r="R48" i="160"/>
  <c r="R47" i="160"/>
  <c r="R46" i="160"/>
  <c r="R45" i="160"/>
  <c r="R44" i="160"/>
  <c r="R39" i="160"/>
  <c r="R37" i="160"/>
  <c r="R36" i="160"/>
  <c r="R35" i="160"/>
  <c r="R34" i="160"/>
  <c r="R33" i="160"/>
  <c r="R32" i="160"/>
  <c r="R31" i="160"/>
  <c r="R30" i="160"/>
  <c r="R29" i="160"/>
  <c r="R28" i="160"/>
  <c r="R27" i="160"/>
  <c r="R26" i="160"/>
  <c r="R21" i="160"/>
  <c r="R19" i="160"/>
  <c r="R18" i="160"/>
  <c r="R17" i="160"/>
  <c r="R16" i="160"/>
  <c r="R15" i="160"/>
  <c r="R14" i="160"/>
  <c r="R13" i="160"/>
  <c r="R12" i="160"/>
  <c r="R11" i="160"/>
  <c r="R10" i="160"/>
  <c r="R9" i="160"/>
  <c r="R8" i="160"/>
  <c r="Q58" i="159"/>
  <c r="Q59" i="159"/>
  <c r="Q60" i="159"/>
  <c r="Q63" i="159"/>
  <c r="Q64" i="159"/>
  <c r="Q65" i="159"/>
  <c r="Q68" i="159"/>
  <c r="Q69" i="159"/>
  <c r="Q70" i="159"/>
  <c r="Q73" i="159"/>
  <c r="Q74" i="159"/>
  <c r="Q75" i="159"/>
  <c r="Q33" i="159"/>
  <c r="Q34" i="159"/>
  <c r="Q35" i="159"/>
  <c r="Q38" i="159"/>
  <c r="Q39" i="159"/>
  <c r="Q40" i="159"/>
  <c r="Q43" i="159"/>
  <c r="Q44" i="159"/>
  <c r="Q45" i="159"/>
  <c r="Q48" i="159"/>
  <c r="Q49" i="159"/>
  <c r="Q50" i="159"/>
  <c r="Q61" i="102"/>
  <c r="Q66" i="102"/>
  <c r="Q71" i="102"/>
  <c r="Q76" i="102"/>
  <c r="Q36" i="102"/>
  <c r="Q41" i="102"/>
  <c r="Q46" i="102"/>
  <c r="Q51" i="102"/>
  <c r="Q11" i="102"/>
  <c r="Q16" i="102"/>
  <c r="Q21" i="102"/>
  <c r="Q26" i="102"/>
  <c r="C272" i="158"/>
  <c r="C273" i="158"/>
  <c r="C274" i="158"/>
  <c r="D272" i="158"/>
  <c r="D273" i="158"/>
  <c r="D274" i="158"/>
  <c r="E272" i="158"/>
  <c r="E273" i="158"/>
  <c r="E274" i="158"/>
  <c r="F272" i="158"/>
  <c r="F273" i="158"/>
  <c r="F274" i="158"/>
  <c r="G272" i="158"/>
  <c r="G273" i="158"/>
  <c r="G274" i="158"/>
  <c r="H272" i="158"/>
  <c r="H273" i="158"/>
  <c r="H274" i="158"/>
  <c r="I272" i="158"/>
  <c r="I273" i="158"/>
  <c r="I274" i="158"/>
  <c r="J273" i="101"/>
  <c r="J274" i="101"/>
  <c r="J275" i="101"/>
  <c r="J273" i="158" s="1"/>
  <c r="J272" i="158"/>
  <c r="C267" i="158"/>
  <c r="C268" i="158"/>
  <c r="C269" i="158"/>
  <c r="D267" i="158"/>
  <c r="D268" i="158"/>
  <c r="D269" i="158"/>
  <c r="E267" i="158"/>
  <c r="E268" i="158"/>
  <c r="E269" i="158"/>
  <c r="F267" i="158"/>
  <c r="F268" i="158"/>
  <c r="F269" i="158"/>
  <c r="G267" i="158"/>
  <c r="G268" i="158"/>
  <c r="G269" i="158"/>
  <c r="H267" i="158"/>
  <c r="H268" i="158"/>
  <c r="H269" i="158"/>
  <c r="I267" i="158"/>
  <c r="I268" i="158"/>
  <c r="I269" i="158"/>
  <c r="J268" i="101"/>
  <c r="J269" i="101"/>
  <c r="J270" i="101"/>
  <c r="J268" i="158" s="1"/>
  <c r="J267" i="158"/>
  <c r="C262" i="158"/>
  <c r="C263" i="158"/>
  <c r="C264" i="158"/>
  <c r="D262" i="158"/>
  <c r="D263" i="158"/>
  <c r="D264" i="158"/>
  <c r="E262" i="158"/>
  <c r="E263" i="158"/>
  <c r="E264" i="158"/>
  <c r="F262" i="158"/>
  <c r="F263" i="158"/>
  <c r="F264" i="158"/>
  <c r="G262" i="158"/>
  <c r="G263" i="158"/>
  <c r="G264" i="158"/>
  <c r="H262" i="158"/>
  <c r="H263" i="158"/>
  <c r="H264" i="158"/>
  <c r="I262" i="158"/>
  <c r="I263" i="158"/>
  <c r="I264" i="158"/>
  <c r="J263" i="101"/>
  <c r="J264" i="101"/>
  <c r="J265" i="101"/>
  <c r="J263" i="158" s="1"/>
  <c r="J262" i="158"/>
  <c r="C257" i="158"/>
  <c r="C258" i="158"/>
  <c r="C259" i="158"/>
  <c r="D257" i="158"/>
  <c r="D258" i="158"/>
  <c r="D259" i="158"/>
  <c r="E257" i="158"/>
  <c r="E258" i="158"/>
  <c r="E259" i="158"/>
  <c r="F257" i="158"/>
  <c r="F258" i="158"/>
  <c r="F259" i="158"/>
  <c r="G257" i="158"/>
  <c r="G258" i="158"/>
  <c r="G259" i="158"/>
  <c r="H257" i="158"/>
  <c r="H258" i="158"/>
  <c r="H259" i="158"/>
  <c r="I257" i="158"/>
  <c r="I258" i="158"/>
  <c r="I259" i="158"/>
  <c r="J258" i="101"/>
  <c r="J259" i="101"/>
  <c r="J260" i="101"/>
  <c r="J258" i="158" s="1"/>
  <c r="J257" i="158"/>
  <c r="I276" i="101"/>
  <c r="H276" i="101"/>
  <c r="G276" i="101"/>
  <c r="F276" i="101"/>
  <c r="E276" i="101"/>
  <c r="D276" i="101"/>
  <c r="C276" i="101"/>
  <c r="I271" i="101"/>
  <c r="H271" i="101"/>
  <c r="G271" i="101"/>
  <c r="F271" i="101"/>
  <c r="E271" i="101"/>
  <c r="D271" i="101"/>
  <c r="C271" i="101"/>
  <c r="I266" i="101"/>
  <c r="H266" i="101"/>
  <c r="G266" i="101"/>
  <c r="G255" i="101" s="1"/>
  <c r="F266" i="101"/>
  <c r="E266" i="101"/>
  <c r="D266" i="101"/>
  <c r="C266" i="101"/>
  <c r="C255" i="101" s="1"/>
  <c r="I261" i="101"/>
  <c r="H261" i="101"/>
  <c r="H255" i="101" s="1"/>
  <c r="G261" i="101"/>
  <c r="F261" i="101"/>
  <c r="F255" i="101" s="1"/>
  <c r="E261" i="101"/>
  <c r="D261" i="101"/>
  <c r="D255" i="101" s="1"/>
  <c r="C261" i="101"/>
  <c r="I255" i="101"/>
  <c r="E255" i="101"/>
  <c r="Q33" i="157"/>
  <c r="Q34" i="157"/>
  <c r="Q35" i="157"/>
  <c r="Q38" i="157"/>
  <c r="Q39" i="157"/>
  <c r="Q40" i="157"/>
  <c r="Q43" i="157"/>
  <c r="Q44" i="157"/>
  <c r="Q45" i="157"/>
  <c r="Q48" i="157"/>
  <c r="Q49" i="157"/>
  <c r="Q50" i="157"/>
  <c r="Q8" i="157"/>
  <c r="Q9" i="157"/>
  <c r="Q10" i="157"/>
  <c r="Q13" i="157"/>
  <c r="Q14" i="157"/>
  <c r="Q15" i="157"/>
  <c r="Q18" i="157"/>
  <c r="Q19" i="157"/>
  <c r="Q20" i="157"/>
  <c r="Q23" i="157"/>
  <c r="Q24" i="157"/>
  <c r="Q25" i="157"/>
  <c r="Q58" i="100"/>
  <c r="Q58" i="157" s="1"/>
  <c r="Q59" i="100"/>
  <c r="Q59" i="157" s="1"/>
  <c r="Q60" i="100"/>
  <c r="Q60" i="157" s="1"/>
  <c r="Q63" i="100"/>
  <c r="Q63" i="157" s="1"/>
  <c r="Q64" i="100"/>
  <c r="Q64" i="157" s="1"/>
  <c r="Q65" i="100"/>
  <c r="Q65" i="157" s="1"/>
  <c r="Q68" i="100"/>
  <c r="Q68" i="157" s="1"/>
  <c r="Q69" i="100"/>
  <c r="Q69" i="157" s="1"/>
  <c r="Q70" i="100"/>
  <c r="Q70" i="157" s="1"/>
  <c r="Q73" i="100"/>
  <c r="Q73" i="157" s="1"/>
  <c r="Q74" i="100"/>
  <c r="Q74" i="157" s="1"/>
  <c r="Q75" i="100"/>
  <c r="Q75" i="157" s="1"/>
  <c r="Q36" i="100"/>
  <c r="Q41" i="100"/>
  <c r="Q46" i="100"/>
  <c r="Q51" i="100"/>
  <c r="Q11" i="100"/>
  <c r="Q16" i="100"/>
  <c r="Q21" i="100"/>
  <c r="Q26" i="100"/>
  <c r="G179" i="156"/>
  <c r="G204" i="156"/>
  <c r="G229" i="156"/>
  <c r="H179" i="156"/>
  <c r="H204" i="156"/>
  <c r="H229" i="156"/>
  <c r="I179" i="156"/>
  <c r="I204" i="156"/>
  <c r="I229" i="156"/>
  <c r="C179" i="156"/>
  <c r="C204" i="156"/>
  <c r="C229" i="156"/>
  <c r="G178" i="156"/>
  <c r="G203" i="156"/>
  <c r="G228" i="156"/>
  <c r="G253" i="156"/>
  <c r="H178" i="156"/>
  <c r="H203" i="156"/>
  <c r="H228" i="156"/>
  <c r="H253" i="156"/>
  <c r="I178" i="156"/>
  <c r="I203" i="156"/>
  <c r="I228" i="156"/>
  <c r="I253" i="156"/>
  <c r="C178" i="156"/>
  <c r="C203" i="156"/>
  <c r="C228" i="156"/>
  <c r="C253" i="156"/>
  <c r="J49" i="156"/>
  <c r="J74" i="156"/>
  <c r="J99" i="156"/>
  <c r="J124" i="156"/>
  <c r="I49" i="156"/>
  <c r="I74" i="156"/>
  <c r="I99" i="156"/>
  <c r="I124" i="156"/>
  <c r="H49" i="156"/>
  <c r="H74" i="156"/>
  <c r="H99" i="156"/>
  <c r="H124" i="156"/>
  <c r="G49" i="156"/>
  <c r="G74" i="156"/>
  <c r="G99" i="156"/>
  <c r="G124" i="156"/>
  <c r="J50" i="156"/>
  <c r="J75" i="156"/>
  <c r="J100" i="156"/>
  <c r="I50" i="156"/>
  <c r="I75" i="156"/>
  <c r="I100" i="156"/>
  <c r="H50" i="156"/>
  <c r="H75" i="156"/>
  <c r="H100" i="156"/>
  <c r="G50" i="156"/>
  <c r="G75" i="156"/>
  <c r="G100" i="156"/>
  <c r="D50" i="156"/>
  <c r="D75" i="156"/>
  <c r="D100" i="156"/>
  <c r="D49" i="156"/>
  <c r="D74" i="156"/>
  <c r="D99" i="156"/>
  <c r="D124" i="156"/>
  <c r="D46" i="156"/>
  <c r="D71" i="156"/>
  <c r="D96" i="156"/>
  <c r="D121" i="156"/>
  <c r="D253" i="156"/>
  <c r="F50" i="156"/>
  <c r="F49" i="156"/>
  <c r="D22" i="99"/>
  <c r="G22" i="99"/>
  <c r="H22" i="99"/>
  <c r="J22" i="99"/>
  <c r="C152" i="99"/>
  <c r="G152" i="99"/>
  <c r="H152" i="99"/>
  <c r="I152" i="99"/>
  <c r="F230" i="99"/>
  <c r="F229" i="156" s="1"/>
  <c r="F205" i="99"/>
  <c r="F204" i="156" s="1"/>
  <c r="F180" i="99"/>
  <c r="F254" i="99"/>
  <c r="F253" i="156" s="1"/>
  <c r="T24" i="120"/>
  <c r="I305" i="158"/>
  <c r="H305" i="158"/>
  <c r="G305" i="158"/>
  <c r="F305" i="158"/>
  <c r="E305" i="158"/>
  <c r="D305" i="158"/>
  <c r="I304" i="158"/>
  <c r="H304" i="158"/>
  <c r="G304" i="158"/>
  <c r="F304" i="158"/>
  <c r="E304" i="158"/>
  <c r="E306" i="158" s="1"/>
  <c r="D304" i="158"/>
  <c r="I303" i="158"/>
  <c r="H303" i="158"/>
  <c r="G303" i="158"/>
  <c r="G306" i="158" s="1"/>
  <c r="F303" i="158"/>
  <c r="E303" i="158"/>
  <c r="D303" i="158"/>
  <c r="D306" i="158" s="1"/>
  <c r="C304" i="158"/>
  <c r="C305" i="158"/>
  <c r="C303" i="158"/>
  <c r="I300" i="158"/>
  <c r="H300" i="158"/>
  <c r="G300" i="158"/>
  <c r="F300" i="158"/>
  <c r="E300" i="158"/>
  <c r="D300" i="158"/>
  <c r="I299" i="158"/>
  <c r="H299" i="158"/>
  <c r="G299" i="158"/>
  <c r="F299" i="158"/>
  <c r="E299" i="158"/>
  <c r="D299" i="158"/>
  <c r="I298" i="158"/>
  <c r="I301" i="158" s="1"/>
  <c r="H298" i="158"/>
  <c r="H301" i="158" s="1"/>
  <c r="G298" i="158"/>
  <c r="F298" i="158"/>
  <c r="E298" i="158"/>
  <c r="E301" i="158" s="1"/>
  <c r="D298" i="158"/>
  <c r="C299" i="158"/>
  <c r="C300" i="158"/>
  <c r="C298" i="158"/>
  <c r="I295" i="158"/>
  <c r="H295" i="158"/>
  <c r="G295" i="158"/>
  <c r="F295" i="158"/>
  <c r="E295" i="158"/>
  <c r="D295" i="158"/>
  <c r="I294" i="158"/>
  <c r="H294" i="158"/>
  <c r="G294" i="158"/>
  <c r="G296" i="158" s="1"/>
  <c r="F294" i="158"/>
  <c r="E294" i="158"/>
  <c r="D294" i="158"/>
  <c r="I293" i="158"/>
  <c r="I296" i="158" s="1"/>
  <c r="H293" i="158"/>
  <c r="G293" i="158"/>
  <c r="F293" i="158"/>
  <c r="F296" i="158" s="1"/>
  <c r="E293" i="158"/>
  <c r="E296" i="158" s="1"/>
  <c r="D293" i="158"/>
  <c r="C294" i="158"/>
  <c r="C295" i="158"/>
  <c r="C293" i="158"/>
  <c r="I290" i="158"/>
  <c r="H290" i="158"/>
  <c r="G290" i="158"/>
  <c r="F290" i="158"/>
  <c r="E290" i="158"/>
  <c r="D290" i="158"/>
  <c r="I289" i="158"/>
  <c r="H289" i="158"/>
  <c r="H291" i="158" s="1"/>
  <c r="G289" i="158"/>
  <c r="F289" i="158"/>
  <c r="E289" i="158"/>
  <c r="D289" i="158"/>
  <c r="I288" i="158"/>
  <c r="H288" i="158"/>
  <c r="G288" i="158"/>
  <c r="G291" i="158" s="1"/>
  <c r="F288" i="158"/>
  <c r="F291" i="158" s="1"/>
  <c r="E288" i="158"/>
  <c r="D288" i="158"/>
  <c r="C290" i="158"/>
  <c r="C289" i="158"/>
  <c r="C288" i="158"/>
  <c r="C307" i="101"/>
  <c r="D307" i="101"/>
  <c r="G307" i="101"/>
  <c r="H307" i="101"/>
  <c r="H306" i="158"/>
  <c r="I307" i="101"/>
  <c r="J304" i="101"/>
  <c r="J305" i="101"/>
  <c r="J303" i="158" s="1"/>
  <c r="J306" i="101"/>
  <c r="J304" i="158" s="1"/>
  <c r="C302" i="101"/>
  <c r="D302" i="101"/>
  <c r="G302" i="101"/>
  <c r="I302" i="101"/>
  <c r="J299" i="101"/>
  <c r="J300" i="101"/>
  <c r="J301" i="101"/>
  <c r="J299" i="158" s="1"/>
  <c r="J298" i="158"/>
  <c r="C297" i="101"/>
  <c r="D297" i="101"/>
  <c r="I297" i="101"/>
  <c r="J294" i="101"/>
  <c r="J295" i="101"/>
  <c r="J296" i="101"/>
  <c r="J293" i="158"/>
  <c r="C292" i="101"/>
  <c r="D292" i="101"/>
  <c r="H292" i="101"/>
  <c r="I292" i="101"/>
  <c r="J289" i="101"/>
  <c r="J290" i="101"/>
  <c r="J291" i="101"/>
  <c r="J292" i="101" s="1"/>
  <c r="J290" i="158" s="1"/>
  <c r="J289" i="158"/>
  <c r="J288" i="158"/>
  <c r="F307" i="101"/>
  <c r="E307" i="101"/>
  <c r="H302" i="101"/>
  <c r="F302" i="101"/>
  <c r="E302" i="101"/>
  <c r="H297" i="101"/>
  <c r="G297" i="101"/>
  <c r="F297" i="101"/>
  <c r="E297" i="101"/>
  <c r="G292" i="101"/>
  <c r="F292" i="101"/>
  <c r="E292" i="101"/>
  <c r="I286" i="101"/>
  <c r="G286" i="101"/>
  <c r="E286" i="101"/>
  <c r="D286" i="101"/>
  <c r="C286" i="101"/>
  <c r="P33" i="157"/>
  <c r="P34" i="157"/>
  <c r="P35" i="157"/>
  <c r="P38" i="157"/>
  <c r="P39" i="157"/>
  <c r="P40" i="157"/>
  <c r="P43" i="157"/>
  <c r="P44" i="157"/>
  <c r="P45" i="157"/>
  <c r="P48" i="157"/>
  <c r="P49" i="157"/>
  <c r="P50" i="157"/>
  <c r="P8" i="157"/>
  <c r="P9" i="157"/>
  <c r="P10" i="157"/>
  <c r="P13" i="157"/>
  <c r="P14" i="157"/>
  <c r="P15" i="157"/>
  <c r="P18" i="157"/>
  <c r="P19" i="157"/>
  <c r="P20" i="157"/>
  <c r="P23" i="157"/>
  <c r="P24" i="157"/>
  <c r="P25" i="157"/>
  <c r="P58" i="100"/>
  <c r="P58" i="157" s="1"/>
  <c r="P59" i="100"/>
  <c r="P59" i="157" s="1"/>
  <c r="P60" i="100"/>
  <c r="P60" i="157" s="1"/>
  <c r="P63" i="100"/>
  <c r="P63" i="157" s="1"/>
  <c r="P64" i="100"/>
  <c r="P64" i="157" s="1"/>
  <c r="P65" i="100"/>
  <c r="P65" i="157" s="1"/>
  <c r="P68" i="100"/>
  <c r="P68" i="157" s="1"/>
  <c r="P69" i="100"/>
  <c r="P69" i="157" s="1"/>
  <c r="P70" i="100"/>
  <c r="P70" i="157" s="1"/>
  <c r="P73" i="100"/>
  <c r="P73" i="157" s="1"/>
  <c r="P74" i="100"/>
  <c r="P74" i="157" s="1"/>
  <c r="P75" i="100"/>
  <c r="P75" i="157" s="1"/>
  <c r="P36" i="100"/>
  <c r="P41" i="100"/>
  <c r="P46" i="100"/>
  <c r="P51" i="100"/>
  <c r="P11" i="100"/>
  <c r="P16" i="100"/>
  <c r="P21" i="100"/>
  <c r="P26" i="100"/>
  <c r="Q44" i="160"/>
  <c r="Q45" i="160"/>
  <c r="Q46" i="160"/>
  <c r="Q47" i="160"/>
  <c r="Q48" i="160"/>
  <c r="Q49" i="160"/>
  <c r="Q50" i="160"/>
  <c r="Q51" i="160"/>
  <c r="Q52" i="160"/>
  <c r="Q53" i="160"/>
  <c r="Q54" i="160"/>
  <c r="Q55" i="160"/>
  <c r="Q57" i="160"/>
  <c r="Q26" i="160"/>
  <c r="Q27" i="160"/>
  <c r="Q28" i="160"/>
  <c r="Q29" i="160"/>
  <c r="Q30" i="160"/>
  <c r="Q31" i="160"/>
  <c r="Q32" i="160"/>
  <c r="Q33" i="160"/>
  <c r="Q34" i="160"/>
  <c r="Q35" i="160"/>
  <c r="Q36" i="160"/>
  <c r="Q37" i="160"/>
  <c r="Q39" i="160"/>
  <c r="Q8" i="160"/>
  <c r="Q9" i="160"/>
  <c r="Q10" i="160"/>
  <c r="Q11" i="160"/>
  <c r="Q12" i="160"/>
  <c r="Q13" i="160"/>
  <c r="Q14" i="160"/>
  <c r="Q15" i="160"/>
  <c r="Q16" i="160"/>
  <c r="Q17" i="160"/>
  <c r="Q18" i="160"/>
  <c r="Q19" i="160"/>
  <c r="Q21" i="160"/>
  <c r="P58" i="159"/>
  <c r="P59" i="159"/>
  <c r="P60" i="159"/>
  <c r="P63" i="159"/>
  <c r="P64" i="159"/>
  <c r="P65" i="159"/>
  <c r="P68" i="159"/>
  <c r="P69" i="159"/>
  <c r="P70" i="159"/>
  <c r="P73" i="159"/>
  <c r="P74" i="159"/>
  <c r="P75" i="159"/>
  <c r="P33" i="159"/>
  <c r="P34" i="159"/>
  <c r="P35" i="159"/>
  <c r="P38" i="159"/>
  <c r="P39" i="159"/>
  <c r="P40" i="159"/>
  <c r="P43" i="159"/>
  <c r="P44" i="159"/>
  <c r="P45" i="159"/>
  <c r="P48" i="159"/>
  <c r="P49" i="159"/>
  <c r="P50" i="159"/>
  <c r="P61" i="102"/>
  <c r="P66" i="102"/>
  <c r="P71" i="102"/>
  <c r="P76" i="102"/>
  <c r="P78" i="102"/>
  <c r="P36" i="102"/>
  <c r="P41" i="102"/>
  <c r="P46" i="102"/>
  <c r="P51" i="102"/>
  <c r="P11" i="102"/>
  <c r="P16" i="102"/>
  <c r="P21" i="102"/>
  <c r="P26" i="102"/>
  <c r="C177" i="156"/>
  <c r="C202" i="156"/>
  <c r="C227" i="156"/>
  <c r="C252" i="156"/>
  <c r="G177" i="156"/>
  <c r="G202" i="156"/>
  <c r="G227" i="156"/>
  <c r="G252" i="156"/>
  <c r="H177" i="156"/>
  <c r="H202" i="156"/>
  <c r="H227" i="156"/>
  <c r="H252" i="156"/>
  <c r="I177" i="156"/>
  <c r="I202" i="156"/>
  <c r="I227" i="156"/>
  <c r="I252" i="156"/>
  <c r="D48" i="156"/>
  <c r="D73" i="156"/>
  <c r="D98" i="156"/>
  <c r="D123" i="156"/>
  <c r="G48" i="156"/>
  <c r="G73" i="156"/>
  <c r="G98" i="156"/>
  <c r="G123" i="156"/>
  <c r="H48" i="156"/>
  <c r="H73" i="156"/>
  <c r="H98" i="156"/>
  <c r="H123" i="156"/>
  <c r="I48" i="156"/>
  <c r="I73" i="156"/>
  <c r="I98" i="156"/>
  <c r="I123" i="156"/>
  <c r="J48" i="156"/>
  <c r="J73" i="156"/>
  <c r="J98" i="156"/>
  <c r="J123" i="156"/>
  <c r="D252" i="156"/>
  <c r="F229" i="99"/>
  <c r="F228" i="156" s="1"/>
  <c r="F204" i="99"/>
  <c r="F203" i="156" s="1"/>
  <c r="F179" i="99"/>
  <c r="F178" i="156" s="1"/>
  <c r="C149" i="99"/>
  <c r="C150" i="99"/>
  <c r="I151" i="99"/>
  <c r="H151" i="99"/>
  <c r="G151" i="99"/>
  <c r="C151" i="99"/>
  <c r="J21" i="99"/>
  <c r="I21" i="99"/>
  <c r="H21" i="99"/>
  <c r="G21" i="99"/>
  <c r="D21" i="99"/>
  <c r="F253" i="99"/>
  <c r="F252" i="156" s="1"/>
  <c r="F228" i="99"/>
  <c r="J228" i="99" s="1"/>
  <c r="F203" i="99"/>
  <c r="F202" i="156" s="1"/>
  <c r="F178" i="99"/>
  <c r="J178" i="99"/>
  <c r="D334" i="158"/>
  <c r="D335" i="158"/>
  <c r="D336" i="158"/>
  <c r="D337" i="158" s="1"/>
  <c r="E334" i="158"/>
  <c r="E335" i="158"/>
  <c r="E336" i="158"/>
  <c r="E337" i="158" s="1"/>
  <c r="F334" i="158"/>
  <c r="F335" i="158"/>
  <c r="F336" i="158"/>
  <c r="F337" i="158" s="1"/>
  <c r="G334" i="158"/>
  <c r="G335" i="158"/>
  <c r="G336" i="158"/>
  <c r="G337" i="158" s="1"/>
  <c r="H334" i="158"/>
  <c r="H335" i="158"/>
  <c r="H336" i="158"/>
  <c r="H337" i="158" s="1"/>
  <c r="I334" i="158"/>
  <c r="I335" i="158"/>
  <c r="I336" i="158"/>
  <c r="I337" i="158" s="1"/>
  <c r="C329" i="158"/>
  <c r="C330" i="158"/>
  <c r="D329" i="158"/>
  <c r="D332" i="158" s="1"/>
  <c r="D330" i="158"/>
  <c r="D331" i="158"/>
  <c r="E329" i="158"/>
  <c r="E330" i="158"/>
  <c r="E331" i="158"/>
  <c r="F329" i="158"/>
  <c r="F330" i="158"/>
  <c r="F331" i="158"/>
  <c r="G329" i="158"/>
  <c r="G332" i="158" s="1"/>
  <c r="G330" i="158"/>
  <c r="G331" i="158"/>
  <c r="H329" i="158"/>
  <c r="H332" i="158" s="1"/>
  <c r="H330" i="158"/>
  <c r="H331" i="158"/>
  <c r="I329" i="158"/>
  <c r="I330" i="158"/>
  <c r="I331" i="158"/>
  <c r="D324" i="158"/>
  <c r="D325" i="158"/>
  <c r="D326" i="158"/>
  <c r="E324" i="158"/>
  <c r="E325" i="158"/>
  <c r="E326" i="158"/>
  <c r="F324" i="158"/>
  <c r="F325" i="158"/>
  <c r="F326" i="158"/>
  <c r="G324" i="158"/>
  <c r="G325" i="158"/>
  <c r="G326" i="158"/>
  <c r="H324" i="158"/>
  <c r="H325" i="158"/>
  <c r="H326" i="158"/>
  <c r="I324" i="158"/>
  <c r="I325" i="158"/>
  <c r="I326" i="158"/>
  <c r="D319" i="158"/>
  <c r="D320" i="158"/>
  <c r="D321" i="158"/>
  <c r="E319" i="158"/>
  <c r="E320" i="158"/>
  <c r="E321" i="158"/>
  <c r="F319" i="158"/>
  <c r="F320" i="158"/>
  <c r="F321" i="158"/>
  <c r="G319" i="158"/>
  <c r="G320" i="158"/>
  <c r="G321" i="158"/>
  <c r="H319" i="158"/>
  <c r="H320" i="158"/>
  <c r="H321" i="158"/>
  <c r="I319" i="158"/>
  <c r="I320" i="158"/>
  <c r="I321" i="158"/>
  <c r="H338" i="101"/>
  <c r="H333" i="101"/>
  <c r="H328" i="101"/>
  <c r="H323" i="101"/>
  <c r="J331" i="101"/>
  <c r="J330" i="158" s="1"/>
  <c r="J330" i="101"/>
  <c r="I338" i="101"/>
  <c r="G338" i="101"/>
  <c r="I333" i="101"/>
  <c r="G333" i="101"/>
  <c r="F333" i="101"/>
  <c r="I328" i="101"/>
  <c r="G328" i="101"/>
  <c r="I323" i="101"/>
  <c r="G323" i="101"/>
  <c r="I317" i="101"/>
  <c r="C332" i="101"/>
  <c r="C331" i="158" s="1"/>
  <c r="C337" i="101"/>
  <c r="C336" i="158" s="1"/>
  <c r="C336" i="101"/>
  <c r="C335" i="158" s="1"/>
  <c r="C335" i="101"/>
  <c r="J335" i="101" s="1"/>
  <c r="C327" i="101"/>
  <c r="C326" i="158" s="1"/>
  <c r="C326" i="101"/>
  <c r="C325" i="158" s="1"/>
  <c r="C325" i="101"/>
  <c r="C324" i="158" s="1"/>
  <c r="C322" i="101"/>
  <c r="C321" i="158" s="1"/>
  <c r="C321" i="101"/>
  <c r="J321" i="101" s="1"/>
  <c r="J320" i="158" s="1"/>
  <c r="C320" i="101"/>
  <c r="C319" i="158" s="1"/>
  <c r="C338" i="101"/>
  <c r="D338" i="101"/>
  <c r="E338" i="101"/>
  <c r="F338" i="101"/>
  <c r="C333" i="101"/>
  <c r="D333" i="101"/>
  <c r="E333" i="101"/>
  <c r="C328" i="101"/>
  <c r="D328" i="101"/>
  <c r="E328" i="101"/>
  <c r="F328" i="101"/>
  <c r="C323" i="101"/>
  <c r="D323" i="101"/>
  <c r="E323" i="101"/>
  <c r="E317" i="101" s="1"/>
  <c r="F323" i="101"/>
  <c r="H317" i="101"/>
  <c r="G317" i="101"/>
  <c r="F317" i="101"/>
  <c r="D317" i="101"/>
  <c r="C317" i="101"/>
  <c r="O33" i="157"/>
  <c r="O34" i="157"/>
  <c r="O35" i="157"/>
  <c r="O38" i="157"/>
  <c r="O39" i="157"/>
  <c r="O40" i="157"/>
  <c r="O43" i="157"/>
  <c r="O44" i="157"/>
  <c r="O45" i="157"/>
  <c r="O48" i="157"/>
  <c r="O49" i="157"/>
  <c r="O50" i="157"/>
  <c r="O25" i="100"/>
  <c r="O25" i="157" s="1"/>
  <c r="O24" i="100"/>
  <c r="O24" i="157" s="1"/>
  <c r="O23" i="100"/>
  <c r="O23" i="157" s="1"/>
  <c r="O20" i="100"/>
  <c r="O20" i="157" s="1"/>
  <c r="O19" i="100"/>
  <c r="O19" i="157" s="1"/>
  <c r="O18" i="100"/>
  <c r="O18" i="157" s="1"/>
  <c r="O15" i="100"/>
  <c r="O15" i="157" s="1"/>
  <c r="O14" i="100"/>
  <c r="O14" i="157" s="1"/>
  <c r="O13" i="100"/>
  <c r="O13" i="157" s="1"/>
  <c r="O10" i="100"/>
  <c r="O10" i="157" s="1"/>
  <c r="O9" i="100"/>
  <c r="O9" i="157" s="1"/>
  <c r="O8" i="100"/>
  <c r="O58" i="100" s="1"/>
  <c r="O59" i="100"/>
  <c r="O59" i="157" s="1"/>
  <c r="O60" i="100"/>
  <c r="O60" i="157" s="1"/>
  <c r="O63" i="100"/>
  <c r="O63" i="157" s="1"/>
  <c r="O64" i="100"/>
  <c r="O64" i="157" s="1"/>
  <c r="O65" i="100"/>
  <c r="O65" i="157" s="1"/>
  <c r="O68" i="100"/>
  <c r="O68" i="157" s="1"/>
  <c r="O69" i="100"/>
  <c r="O69" i="157" s="1"/>
  <c r="O70" i="100"/>
  <c r="O70" i="157" s="1"/>
  <c r="O73" i="100"/>
  <c r="O73" i="157" s="1"/>
  <c r="O74" i="100"/>
  <c r="O74" i="157" s="1"/>
  <c r="O75" i="100"/>
  <c r="O75" i="157" s="1"/>
  <c r="O36" i="100"/>
  <c r="O41" i="100"/>
  <c r="O46" i="100"/>
  <c r="O51" i="100"/>
  <c r="O21" i="100"/>
  <c r="Y23" i="120"/>
  <c r="X23" i="120"/>
  <c r="T23" i="120" s="1"/>
  <c r="P57" i="160"/>
  <c r="P55" i="160"/>
  <c r="P54" i="160"/>
  <c r="P53" i="160"/>
  <c r="P52" i="160"/>
  <c r="P51" i="160"/>
  <c r="P50" i="160"/>
  <c r="P49" i="160"/>
  <c r="P48" i="160"/>
  <c r="P47" i="160"/>
  <c r="P46" i="160"/>
  <c r="P45" i="160"/>
  <c r="P44" i="160"/>
  <c r="P39" i="160"/>
  <c r="P37" i="160"/>
  <c r="P36" i="160"/>
  <c r="P35" i="160"/>
  <c r="P34" i="160"/>
  <c r="P33" i="160"/>
  <c r="P32" i="160"/>
  <c r="P31" i="160"/>
  <c r="P30" i="160"/>
  <c r="P29" i="160"/>
  <c r="P28" i="160"/>
  <c r="P27" i="160"/>
  <c r="P26" i="160"/>
  <c r="P21" i="160"/>
  <c r="P19" i="160"/>
  <c r="P18" i="160"/>
  <c r="P17" i="160"/>
  <c r="P16" i="160"/>
  <c r="P15" i="160"/>
  <c r="P14" i="160"/>
  <c r="P13" i="160"/>
  <c r="P12" i="160"/>
  <c r="P11" i="160"/>
  <c r="P10" i="160"/>
  <c r="P9" i="160"/>
  <c r="P8" i="160"/>
  <c r="J122" i="156"/>
  <c r="I122" i="156"/>
  <c r="H122" i="156"/>
  <c r="G122" i="156"/>
  <c r="D122" i="156"/>
  <c r="J204" i="99"/>
  <c r="J20" i="99"/>
  <c r="H20" i="99"/>
  <c r="G20" i="99"/>
  <c r="D20" i="99"/>
  <c r="O58" i="159"/>
  <c r="O59" i="159"/>
  <c r="O60" i="159"/>
  <c r="O63" i="159"/>
  <c r="O64" i="159"/>
  <c r="O65" i="159"/>
  <c r="O68" i="159"/>
  <c r="O69" i="159"/>
  <c r="O70" i="159"/>
  <c r="O73" i="159"/>
  <c r="O74" i="159"/>
  <c r="O75" i="159"/>
  <c r="O33" i="159"/>
  <c r="O34" i="159"/>
  <c r="O35" i="159"/>
  <c r="O38" i="159"/>
  <c r="O39" i="159"/>
  <c r="O40" i="159"/>
  <c r="O43" i="159"/>
  <c r="O44" i="159"/>
  <c r="O45" i="159"/>
  <c r="O48" i="159"/>
  <c r="O49" i="159"/>
  <c r="O50" i="159"/>
  <c r="O61" i="102"/>
  <c r="O66" i="102"/>
  <c r="O71" i="102"/>
  <c r="O76" i="102"/>
  <c r="O36" i="102"/>
  <c r="O41" i="102"/>
  <c r="O46" i="102"/>
  <c r="O51" i="102"/>
  <c r="O11" i="102"/>
  <c r="O16" i="102"/>
  <c r="O21" i="102"/>
  <c r="O26" i="102"/>
  <c r="K67" i="104"/>
  <c r="J67" i="104"/>
  <c r="I67" i="104"/>
  <c r="H67" i="104"/>
  <c r="G67" i="104"/>
  <c r="F67" i="104"/>
  <c r="E67" i="104"/>
  <c r="D67" i="104"/>
  <c r="C67" i="104"/>
  <c r="K51" i="104"/>
  <c r="J51" i="104"/>
  <c r="I51" i="104"/>
  <c r="H51" i="104"/>
  <c r="G51" i="104"/>
  <c r="E51" i="104"/>
  <c r="C51" i="104"/>
  <c r="F50" i="104"/>
  <c r="F49" i="104"/>
  <c r="F48" i="104"/>
  <c r="D48" i="104"/>
  <c r="D45" i="104"/>
  <c r="F44" i="104"/>
  <c r="D44" i="104"/>
  <c r="F43" i="104"/>
  <c r="D43" i="104"/>
  <c r="F42" i="104"/>
  <c r="D42" i="104"/>
  <c r="F41" i="104"/>
  <c r="D41" i="104"/>
  <c r="F40" i="104"/>
  <c r="F39" i="104"/>
  <c r="D39" i="104"/>
  <c r="K35" i="104"/>
  <c r="J35" i="104"/>
  <c r="I35" i="104"/>
  <c r="H35" i="104"/>
  <c r="G35" i="104"/>
  <c r="E35" i="104"/>
  <c r="C35" i="104"/>
  <c r="F34" i="104"/>
  <c r="F33" i="104"/>
  <c r="F32" i="104"/>
  <c r="D32" i="104"/>
  <c r="D29" i="104"/>
  <c r="F28" i="104"/>
  <c r="D28" i="104"/>
  <c r="F27" i="104"/>
  <c r="D27" i="104"/>
  <c r="F26" i="104"/>
  <c r="D26" i="104"/>
  <c r="F25" i="104"/>
  <c r="D25" i="104"/>
  <c r="F24" i="104"/>
  <c r="F23" i="104"/>
  <c r="D23" i="104"/>
  <c r="D35" i="104" s="1"/>
  <c r="K19" i="104"/>
  <c r="J19" i="104"/>
  <c r="I19" i="104"/>
  <c r="H19" i="104"/>
  <c r="G19" i="104"/>
  <c r="E19" i="104"/>
  <c r="D19" i="104"/>
  <c r="F18" i="104"/>
  <c r="F17" i="104"/>
  <c r="F16" i="104"/>
  <c r="F12" i="104"/>
  <c r="F11" i="104"/>
  <c r="F10" i="104"/>
  <c r="F9" i="104"/>
  <c r="F8" i="104"/>
  <c r="F7" i="104"/>
  <c r="H19" i="99"/>
  <c r="F51" i="104"/>
  <c r="D51" i="104"/>
  <c r="F19" i="104"/>
  <c r="F35" i="104"/>
  <c r="X22" i="120"/>
  <c r="T22" i="120"/>
  <c r="N57" i="160"/>
  <c r="N45" i="160"/>
  <c r="N46" i="160"/>
  <c r="N47" i="160"/>
  <c r="N48" i="160"/>
  <c r="N49" i="160"/>
  <c r="N50" i="160"/>
  <c r="N51" i="160"/>
  <c r="N52" i="160"/>
  <c r="N53" i="160"/>
  <c r="N54" i="160"/>
  <c r="N55" i="160"/>
  <c r="N44" i="160"/>
  <c r="N39" i="160"/>
  <c r="N27" i="160"/>
  <c r="N28" i="160"/>
  <c r="N29" i="160"/>
  <c r="N30" i="160"/>
  <c r="N31" i="160"/>
  <c r="N32" i="160"/>
  <c r="N33" i="160"/>
  <c r="N34" i="160"/>
  <c r="N35" i="160"/>
  <c r="N36" i="160"/>
  <c r="N37" i="160"/>
  <c r="N26" i="160"/>
  <c r="O57" i="160"/>
  <c r="N21" i="160"/>
  <c r="N9" i="160"/>
  <c r="N10" i="160"/>
  <c r="N11" i="160"/>
  <c r="N12" i="160"/>
  <c r="N13" i="160"/>
  <c r="N14" i="160"/>
  <c r="N15" i="160"/>
  <c r="N16" i="160"/>
  <c r="N17" i="160"/>
  <c r="N18" i="160"/>
  <c r="N19" i="160"/>
  <c r="N8" i="160"/>
  <c r="O55" i="160"/>
  <c r="O54" i="160"/>
  <c r="O53" i="160"/>
  <c r="O52" i="160"/>
  <c r="O51" i="160"/>
  <c r="O50" i="160"/>
  <c r="O49" i="160"/>
  <c r="O48" i="160"/>
  <c r="O47" i="160"/>
  <c r="O46" i="160"/>
  <c r="O45" i="160"/>
  <c r="O44" i="160"/>
  <c r="O19" i="160"/>
  <c r="O18" i="160"/>
  <c r="O17" i="160"/>
  <c r="O16" i="160"/>
  <c r="O15" i="160"/>
  <c r="O14" i="160"/>
  <c r="O13" i="160"/>
  <c r="O12" i="160"/>
  <c r="O11" i="160"/>
  <c r="O10" i="160"/>
  <c r="O9" i="160"/>
  <c r="O8" i="160"/>
  <c r="O37" i="160"/>
  <c r="O36" i="160"/>
  <c r="O35" i="160"/>
  <c r="O34" i="160"/>
  <c r="O33" i="160"/>
  <c r="O32" i="160"/>
  <c r="O31" i="160"/>
  <c r="O30" i="160"/>
  <c r="O29" i="160"/>
  <c r="O28" i="160"/>
  <c r="O27" i="160"/>
  <c r="O26" i="160"/>
  <c r="N58" i="159"/>
  <c r="N59" i="159"/>
  <c r="N60" i="159"/>
  <c r="N63" i="159"/>
  <c r="N64" i="159"/>
  <c r="N65" i="159"/>
  <c r="N68" i="159"/>
  <c r="N69" i="159"/>
  <c r="N70" i="159"/>
  <c r="N73" i="159"/>
  <c r="N74" i="159"/>
  <c r="N75" i="159"/>
  <c r="N33" i="159"/>
  <c r="N34" i="159"/>
  <c r="N35" i="159"/>
  <c r="N38" i="159"/>
  <c r="N39" i="159"/>
  <c r="N40" i="159"/>
  <c r="N43" i="159"/>
  <c r="N44" i="159"/>
  <c r="N45" i="159"/>
  <c r="N48" i="159"/>
  <c r="N49" i="159"/>
  <c r="N50" i="159"/>
  <c r="N61" i="102"/>
  <c r="N66" i="102"/>
  <c r="N71" i="102"/>
  <c r="N76" i="102"/>
  <c r="N36" i="102"/>
  <c r="N41" i="102"/>
  <c r="N46" i="102"/>
  <c r="N51" i="102"/>
  <c r="N11" i="102"/>
  <c r="N16" i="102"/>
  <c r="N21" i="102"/>
  <c r="N26" i="102"/>
  <c r="N28" i="102"/>
  <c r="D359" i="101"/>
  <c r="N58" i="100"/>
  <c r="N58" i="157" s="1"/>
  <c r="N48" i="157"/>
  <c r="N49" i="157"/>
  <c r="N50" i="157"/>
  <c r="N43" i="157"/>
  <c r="N44" i="157"/>
  <c r="N45" i="157"/>
  <c r="N38" i="157"/>
  <c r="N39" i="157"/>
  <c r="N40" i="157"/>
  <c r="N33" i="157"/>
  <c r="N34" i="157"/>
  <c r="N35" i="157"/>
  <c r="N23" i="157"/>
  <c r="N24" i="157"/>
  <c r="N25" i="157"/>
  <c r="N18" i="157"/>
  <c r="N19" i="157"/>
  <c r="N20" i="157"/>
  <c r="N13" i="157"/>
  <c r="N14" i="157"/>
  <c r="N15" i="157"/>
  <c r="N8" i="157"/>
  <c r="N9" i="157"/>
  <c r="N10" i="157"/>
  <c r="N73" i="100"/>
  <c r="N73" i="157" s="1"/>
  <c r="N74" i="100"/>
  <c r="N74" i="157" s="1"/>
  <c r="N75" i="100"/>
  <c r="N75" i="157" s="1"/>
  <c r="N68" i="100"/>
  <c r="N68" i="157" s="1"/>
  <c r="N69" i="100"/>
  <c r="N69" i="157" s="1"/>
  <c r="N70" i="100"/>
  <c r="N70" i="157" s="1"/>
  <c r="N63" i="100"/>
  <c r="N63" i="157" s="1"/>
  <c r="N64" i="100"/>
  <c r="N64" i="157" s="1"/>
  <c r="N65" i="100"/>
  <c r="N65" i="157" s="1"/>
  <c r="N59" i="100"/>
  <c r="N59" i="157" s="1"/>
  <c r="N60" i="100"/>
  <c r="N60" i="157" s="1"/>
  <c r="N66" i="100"/>
  <c r="N51" i="100"/>
  <c r="N36" i="100"/>
  <c r="N41" i="100"/>
  <c r="N46" i="100"/>
  <c r="N26" i="100"/>
  <c r="N11" i="100"/>
  <c r="N16" i="100"/>
  <c r="N21" i="100"/>
  <c r="C365" i="158"/>
  <c r="C366" i="158"/>
  <c r="C367" i="158"/>
  <c r="D365" i="158"/>
  <c r="D366" i="158"/>
  <c r="D367" i="158"/>
  <c r="E365" i="158"/>
  <c r="E366" i="158"/>
  <c r="E367" i="158"/>
  <c r="F365" i="158"/>
  <c r="F366" i="158"/>
  <c r="F367" i="158"/>
  <c r="G365" i="158"/>
  <c r="G366" i="158"/>
  <c r="G367" i="158"/>
  <c r="H368" i="101"/>
  <c r="H367" i="158" s="1"/>
  <c r="H367" i="101"/>
  <c r="H366" i="158" s="1"/>
  <c r="H366" i="101"/>
  <c r="H365" i="158" s="1"/>
  <c r="C360" i="158"/>
  <c r="C361" i="158"/>
  <c r="C362" i="158"/>
  <c r="D360" i="158"/>
  <c r="D361" i="158"/>
  <c r="D362" i="158"/>
  <c r="E360" i="158"/>
  <c r="E361" i="158"/>
  <c r="E362" i="158"/>
  <c r="F360" i="158"/>
  <c r="F361" i="158"/>
  <c r="F362" i="158"/>
  <c r="G360" i="158"/>
  <c r="G361" i="158"/>
  <c r="G362" i="158"/>
  <c r="H363" i="101"/>
  <c r="H362" i="158" s="1"/>
  <c r="H362" i="101"/>
  <c r="H361" i="158" s="1"/>
  <c r="H361" i="101"/>
  <c r="H360" i="158" s="1"/>
  <c r="C355" i="158"/>
  <c r="C356" i="158"/>
  <c r="C357" i="158"/>
  <c r="D355" i="158"/>
  <c r="D356" i="158"/>
  <c r="D357" i="158"/>
  <c r="E355" i="158"/>
  <c r="E356" i="158"/>
  <c r="E357" i="158"/>
  <c r="F355" i="158"/>
  <c r="F356" i="158"/>
  <c r="F357" i="158"/>
  <c r="G355" i="158"/>
  <c r="G356" i="158"/>
  <c r="G357" i="158"/>
  <c r="H358" i="101"/>
  <c r="H357" i="158" s="1"/>
  <c r="H357" i="101"/>
  <c r="H356" i="158" s="1"/>
  <c r="H356" i="101"/>
  <c r="H355" i="158" s="1"/>
  <c r="C350" i="158"/>
  <c r="C351" i="158"/>
  <c r="C352" i="158"/>
  <c r="D350" i="158"/>
  <c r="D351" i="158"/>
  <c r="D352" i="158"/>
  <c r="E350" i="158"/>
  <c r="E351" i="158"/>
  <c r="E352" i="158"/>
  <c r="F350" i="158"/>
  <c r="F351" i="158"/>
  <c r="F352" i="158"/>
  <c r="G350" i="158"/>
  <c r="G351" i="158"/>
  <c r="G352" i="158"/>
  <c r="H353" i="101"/>
  <c r="H352" i="158" s="1"/>
  <c r="H352" i="101"/>
  <c r="H351" i="158" s="1"/>
  <c r="H351" i="101"/>
  <c r="H350" i="158" s="1"/>
  <c r="C369" i="101"/>
  <c r="D369" i="101"/>
  <c r="E369" i="101"/>
  <c r="F369" i="101"/>
  <c r="G369" i="101"/>
  <c r="C364" i="101"/>
  <c r="D364" i="101"/>
  <c r="E364" i="101"/>
  <c r="F364" i="101"/>
  <c r="G364" i="101"/>
  <c r="C359" i="101"/>
  <c r="E359" i="101"/>
  <c r="F359" i="101"/>
  <c r="G359" i="101"/>
  <c r="C354" i="101"/>
  <c r="D354" i="101"/>
  <c r="D348" i="101" s="1"/>
  <c r="E354" i="101"/>
  <c r="F354" i="101"/>
  <c r="F348" i="101" s="1"/>
  <c r="G354" i="101"/>
  <c r="C348" i="101"/>
  <c r="C250" i="156"/>
  <c r="D250" i="156"/>
  <c r="F250" i="156"/>
  <c r="G250" i="156"/>
  <c r="H250" i="156"/>
  <c r="I250" i="156"/>
  <c r="C225" i="156"/>
  <c r="F225" i="156"/>
  <c r="G225" i="156"/>
  <c r="H225" i="156"/>
  <c r="I225" i="156"/>
  <c r="G96" i="156"/>
  <c r="H96" i="156"/>
  <c r="I96" i="156"/>
  <c r="J96" i="156"/>
  <c r="C200" i="156"/>
  <c r="F200" i="156"/>
  <c r="G200" i="156"/>
  <c r="H200" i="156"/>
  <c r="I200" i="156"/>
  <c r="G71" i="156"/>
  <c r="H71" i="156"/>
  <c r="I71" i="156"/>
  <c r="J71" i="156"/>
  <c r="C175" i="156"/>
  <c r="F175" i="156"/>
  <c r="G175" i="156"/>
  <c r="H175" i="156"/>
  <c r="I175" i="156"/>
  <c r="G46" i="156"/>
  <c r="G121" i="156"/>
  <c r="H46" i="156"/>
  <c r="I46" i="156"/>
  <c r="I121" i="156"/>
  <c r="J46" i="156"/>
  <c r="J121" i="156"/>
  <c r="H121" i="156"/>
  <c r="J19" i="99"/>
  <c r="G19" i="99"/>
  <c r="D19" i="99"/>
  <c r="F202" i="99"/>
  <c r="F201" i="156" s="1"/>
  <c r="F252" i="99"/>
  <c r="J252" i="99" s="1"/>
  <c r="F227" i="99"/>
  <c r="F177" i="99"/>
  <c r="J177" i="99" s="1"/>
  <c r="I150" i="99"/>
  <c r="H150" i="99"/>
  <c r="G150" i="99"/>
  <c r="I149" i="99"/>
  <c r="H149" i="99"/>
  <c r="G149" i="99"/>
  <c r="F149" i="99"/>
  <c r="J251" i="99"/>
  <c r="J226" i="99"/>
  <c r="J201" i="99"/>
  <c r="J176" i="99"/>
  <c r="M39" i="159"/>
  <c r="M49" i="159"/>
  <c r="M33" i="159"/>
  <c r="M34" i="159"/>
  <c r="M35" i="159"/>
  <c r="M38" i="159"/>
  <c r="M40" i="159"/>
  <c r="M43" i="159"/>
  <c r="M44" i="159"/>
  <c r="M45" i="159"/>
  <c r="M48" i="159"/>
  <c r="M50" i="159"/>
  <c r="M64" i="159"/>
  <c r="M74" i="159"/>
  <c r="M58" i="159"/>
  <c r="M59" i="159"/>
  <c r="M60" i="159"/>
  <c r="M63" i="159"/>
  <c r="M65" i="159"/>
  <c r="M68" i="159"/>
  <c r="M69" i="159"/>
  <c r="M70" i="159"/>
  <c r="M73" i="159"/>
  <c r="M75" i="159"/>
  <c r="T21" i="120"/>
  <c r="M61" i="102"/>
  <c r="M76" i="102"/>
  <c r="M71" i="102"/>
  <c r="M66" i="102"/>
  <c r="M41" i="102"/>
  <c r="M46" i="102"/>
  <c r="M51" i="102"/>
  <c r="M36" i="102"/>
  <c r="M11" i="102"/>
  <c r="M16" i="102"/>
  <c r="M21" i="102"/>
  <c r="M26" i="102"/>
  <c r="F398" i="158"/>
  <c r="F397" i="158"/>
  <c r="F396" i="158"/>
  <c r="F393" i="158"/>
  <c r="F392" i="158"/>
  <c r="F391" i="158"/>
  <c r="F388" i="158"/>
  <c r="F387" i="158"/>
  <c r="F386" i="158"/>
  <c r="F383" i="158"/>
  <c r="F382" i="158"/>
  <c r="F381" i="158"/>
  <c r="G398" i="158"/>
  <c r="G397" i="158"/>
  <c r="G396" i="158"/>
  <c r="G393" i="158"/>
  <c r="G392" i="158"/>
  <c r="G391" i="158"/>
  <c r="G388" i="158"/>
  <c r="G387" i="158"/>
  <c r="G386" i="158"/>
  <c r="E398" i="158"/>
  <c r="E397" i="158"/>
  <c r="E396" i="158"/>
  <c r="E393" i="158"/>
  <c r="E392" i="158"/>
  <c r="E391" i="158"/>
  <c r="E388" i="158"/>
  <c r="E387" i="158"/>
  <c r="E386" i="158"/>
  <c r="E383" i="158"/>
  <c r="E382" i="158"/>
  <c r="E381" i="158"/>
  <c r="C387" i="158"/>
  <c r="C388" i="158"/>
  <c r="C386" i="158"/>
  <c r="C382" i="158"/>
  <c r="C383" i="158"/>
  <c r="C381" i="158"/>
  <c r="C396" i="158"/>
  <c r="C397" i="158"/>
  <c r="C398" i="158"/>
  <c r="D396" i="158"/>
  <c r="D397" i="158"/>
  <c r="D398" i="158"/>
  <c r="C391" i="158"/>
  <c r="C392" i="158"/>
  <c r="C393" i="158"/>
  <c r="D391" i="158"/>
  <c r="D392" i="158"/>
  <c r="D393" i="158"/>
  <c r="D386" i="158"/>
  <c r="D387" i="158"/>
  <c r="D389" i="158" s="1"/>
  <c r="D388" i="158"/>
  <c r="D381" i="158"/>
  <c r="D382" i="158"/>
  <c r="D383" i="158"/>
  <c r="G384" i="101"/>
  <c r="G383" i="158" s="1"/>
  <c r="G383" i="101"/>
  <c r="G382" i="158" s="1"/>
  <c r="G382" i="101"/>
  <c r="G381" i="158" s="1"/>
  <c r="C400" i="101"/>
  <c r="D400" i="101"/>
  <c r="E400" i="101"/>
  <c r="F400" i="101"/>
  <c r="G400" i="101"/>
  <c r="H399" i="101"/>
  <c r="H398" i="158" s="1"/>
  <c r="H398" i="101"/>
  <c r="H397" i="158" s="1"/>
  <c r="H397" i="101"/>
  <c r="H396" i="158" s="1"/>
  <c r="C395" i="101"/>
  <c r="D395" i="101"/>
  <c r="E395" i="101"/>
  <c r="G395" i="101"/>
  <c r="F395" i="101"/>
  <c r="H394" i="101"/>
  <c r="H393" i="158" s="1"/>
  <c r="H393" i="101"/>
  <c r="H392" i="158" s="1"/>
  <c r="H392" i="101"/>
  <c r="H391" i="158" s="1"/>
  <c r="C390" i="101"/>
  <c r="D390" i="101"/>
  <c r="G390" i="101"/>
  <c r="E390" i="101"/>
  <c r="F390" i="101"/>
  <c r="H389" i="101"/>
  <c r="H388" i="158" s="1"/>
  <c r="H388" i="101"/>
  <c r="H387" i="158" s="1"/>
  <c r="H387" i="101"/>
  <c r="H386" i="158" s="1"/>
  <c r="C385" i="101"/>
  <c r="C379" i="101" s="1"/>
  <c r="D385" i="101"/>
  <c r="D379" i="101" s="1"/>
  <c r="F385" i="101"/>
  <c r="F379" i="101"/>
  <c r="G385" i="101"/>
  <c r="E385" i="101"/>
  <c r="G379" i="101"/>
  <c r="E379" i="101"/>
  <c r="M39" i="157"/>
  <c r="M40" i="157"/>
  <c r="M43" i="157"/>
  <c r="M44" i="157"/>
  <c r="M45" i="157"/>
  <c r="M49" i="157"/>
  <c r="M50" i="157"/>
  <c r="M48" i="100"/>
  <c r="M51" i="100" s="1"/>
  <c r="M38" i="100"/>
  <c r="M35" i="100"/>
  <c r="M34" i="100"/>
  <c r="M34" i="157" s="1"/>
  <c r="M33" i="100"/>
  <c r="M46" i="100"/>
  <c r="M15" i="100"/>
  <c r="M15" i="157" s="1"/>
  <c r="M19" i="100"/>
  <c r="M25" i="100"/>
  <c r="M25" i="157" s="1"/>
  <c r="M24" i="100"/>
  <c r="M24" i="157" s="1"/>
  <c r="M23" i="100"/>
  <c r="M23" i="157" s="1"/>
  <c r="M20" i="100"/>
  <c r="M20" i="157" s="1"/>
  <c r="M18" i="100"/>
  <c r="M68" i="100" s="1"/>
  <c r="M68" i="157" s="1"/>
  <c r="M14" i="100"/>
  <c r="M14" i="157" s="1"/>
  <c r="M13" i="100"/>
  <c r="M13" i="157" s="1"/>
  <c r="M10" i="100"/>
  <c r="M10" i="157" s="1"/>
  <c r="M8" i="100"/>
  <c r="M9" i="100"/>
  <c r="M59" i="100" s="1"/>
  <c r="M59" i="157" s="1"/>
  <c r="C251" i="156"/>
  <c r="D251" i="156"/>
  <c r="F251" i="156"/>
  <c r="G251" i="156"/>
  <c r="H251" i="156"/>
  <c r="I251" i="156"/>
  <c r="C226" i="156"/>
  <c r="G226" i="156"/>
  <c r="H226" i="156"/>
  <c r="I226" i="156"/>
  <c r="D97" i="156"/>
  <c r="G97" i="156"/>
  <c r="H97" i="156"/>
  <c r="I97" i="156"/>
  <c r="J97" i="156"/>
  <c r="C201" i="156"/>
  <c r="G201" i="156"/>
  <c r="H201" i="156"/>
  <c r="I201" i="156"/>
  <c r="D72" i="156"/>
  <c r="G72" i="156"/>
  <c r="H72" i="156"/>
  <c r="I72" i="156"/>
  <c r="J72" i="156"/>
  <c r="C176" i="156"/>
  <c r="G176" i="156"/>
  <c r="H176" i="156"/>
  <c r="I176" i="156"/>
  <c r="D47" i="156"/>
  <c r="G47" i="156"/>
  <c r="H47" i="156"/>
  <c r="I47" i="156"/>
  <c r="J47" i="156"/>
  <c r="J202" i="99"/>
  <c r="S23" i="155"/>
  <c r="T23" i="155"/>
  <c r="S24" i="155"/>
  <c r="T24" i="155"/>
  <c r="T20" i="120"/>
  <c r="M55" i="160"/>
  <c r="M54" i="160"/>
  <c r="M53" i="160"/>
  <c r="M52" i="160"/>
  <c r="M51" i="160"/>
  <c r="M50" i="160"/>
  <c r="M49" i="160"/>
  <c r="M48" i="160"/>
  <c r="M47" i="160"/>
  <c r="M46" i="160"/>
  <c r="M45" i="160"/>
  <c r="M44" i="160"/>
  <c r="M19" i="160"/>
  <c r="M18" i="160"/>
  <c r="M17" i="160"/>
  <c r="M16" i="160"/>
  <c r="M15" i="160"/>
  <c r="M14" i="160"/>
  <c r="M13" i="160"/>
  <c r="M12" i="160"/>
  <c r="M11" i="160"/>
  <c r="M10" i="160"/>
  <c r="M9" i="160"/>
  <c r="M8" i="160"/>
  <c r="M37" i="160"/>
  <c r="M36" i="160"/>
  <c r="M35" i="160"/>
  <c r="M34" i="160"/>
  <c r="M33" i="160"/>
  <c r="M32" i="160"/>
  <c r="M31" i="160"/>
  <c r="M30" i="160"/>
  <c r="M29" i="160"/>
  <c r="M28" i="160"/>
  <c r="M27" i="160"/>
  <c r="M26" i="160"/>
  <c r="M57" i="160"/>
  <c r="M21" i="160"/>
  <c r="L33" i="159"/>
  <c r="L34" i="159"/>
  <c r="L35" i="159"/>
  <c r="L38" i="159"/>
  <c r="L39" i="159"/>
  <c r="L40" i="159"/>
  <c r="L43" i="159"/>
  <c r="L44" i="159"/>
  <c r="L45" i="159"/>
  <c r="L48" i="159"/>
  <c r="L49" i="159"/>
  <c r="L50" i="159"/>
  <c r="K74" i="102"/>
  <c r="K74" i="159" s="1"/>
  <c r="L74" i="159"/>
  <c r="K75" i="102"/>
  <c r="K75" i="159" s="1"/>
  <c r="L75" i="159"/>
  <c r="L73" i="159"/>
  <c r="K69" i="102"/>
  <c r="K69" i="159" s="1"/>
  <c r="L69" i="159"/>
  <c r="K70" i="102"/>
  <c r="K70" i="159" s="1"/>
  <c r="L70" i="159"/>
  <c r="L68" i="159"/>
  <c r="K64" i="102"/>
  <c r="K64" i="159" s="1"/>
  <c r="L64" i="159"/>
  <c r="K65" i="102"/>
  <c r="K65" i="159" s="1"/>
  <c r="L65" i="159"/>
  <c r="L63" i="159"/>
  <c r="L59" i="159"/>
  <c r="L60" i="159"/>
  <c r="L58" i="159"/>
  <c r="K49" i="159"/>
  <c r="K50" i="159"/>
  <c r="K44" i="159"/>
  <c r="K45" i="159"/>
  <c r="K39" i="159"/>
  <c r="K40" i="159"/>
  <c r="L36" i="102"/>
  <c r="L41" i="102"/>
  <c r="L46" i="102"/>
  <c r="L51" i="102"/>
  <c r="C36" i="102"/>
  <c r="C41" i="102"/>
  <c r="C46" i="102"/>
  <c r="C51" i="102"/>
  <c r="L11" i="102"/>
  <c r="L16" i="102"/>
  <c r="L21" i="102"/>
  <c r="L26" i="102"/>
  <c r="C11" i="102"/>
  <c r="C16" i="102"/>
  <c r="C21" i="102"/>
  <c r="C26" i="102"/>
  <c r="L61" i="102"/>
  <c r="L66" i="102"/>
  <c r="L71" i="102"/>
  <c r="L76" i="102"/>
  <c r="D427" i="158"/>
  <c r="D428" i="158"/>
  <c r="D429" i="158"/>
  <c r="E427" i="158"/>
  <c r="F427" i="158"/>
  <c r="G427" i="158"/>
  <c r="H428" i="101"/>
  <c r="H427" i="158" s="1"/>
  <c r="E428" i="158"/>
  <c r="F428" i="158"/>
  <c r="G428" i="158"/>
  <c r="H428" i="158"/>
  <c r="I429" i="101"/>
  <c r="I428" i="158" s="1"/>
  <c r="E429" i="158"/>
  <c r="F429" i="158"/>
  <c r="G429" i="158"/>
  <c r="H429" i="158"/>
  <c r="I430" i="101"/>
  <c r="I429" i="158" s="1"/>
  <c r="C429" i="158"/>
  <c r="C428" i="158"/>
  <c r="C427" i="158"/>
  <c r="D422" i="158"/>
  <c r="E422" i="158"/>
  <c r="E423" i="158"/>
  <c r="E424" i="158"/>
  <c r="F422" i="158"/>
  <c r="G422" i="158"/>
  <c r="G423" i="158"/>
  <c r="G424" i="158"/>
  <c r="H423" i="101"/>
  <c r="I423" i="101" s="1"/>
  <c r="I422" i="158" s="1"/>
  <c r="D423" i="158"/>
  <c r="D424" i="158"/>
  <c r="F423" i="158"/>
  <c r="F424" i="158"/>
  <c r="H424" i="101"/>
  <c r="H423" i="158" s="1"/>
  <c r="H425" i="101"/>
  <c r="H424" i="158" s="1"/>
  <c r="C424" i="158"/>
  <c r="C423" i="158"/>
  <c r="C422" i="158"/>
  <c r="H418" i="101"/>
  <c r="I418" i="101" s="1"/>
  <c r="I417" i="158" s="1"/>
  <c r="H419" i="101"/>
  <c r="I419" i="101" s="1"/>
  <c r="I418" i="158" s="1"/>
  <c r="H420" i="101"/>
  <c r="D417" i="158"/>
  <c r="D418" i="158"/>
  <c r="D419" i="158"/>
  <c r="E417" i="158"/>
  <c r="F417" i="158"/>
  <c r="G417" i="158"/>
  <c r="E418" i="158"/>
  <c r="F418" i="158"/>
  <c r="G418" i="158"/>
  <c r="E419" i="158"/>
  <c r="F419" i="158"/>
  <c r="G419" i="158"/>
  <c r="C418" i="158"/>
  <c r="C419" i="158"/>
  <c r="C417" i="158"/>
  <c r="C412" i="158"/>
  <c r="C413" i="158"/>
  <c r="C414" i="158"/>
  <c r="H413" i="101"/>
  <c r="I413" i="101" s="1"/>
  <c r="I412" i="158" s="1"/>
  <c r="H414" i="101"/>
  <c r="I414" i="101" s="1"/>
  <c r="I413" i="158" s="1"/>
  <c r="H415" i="101"/>
  <c r="I415" i="101" s="1"/>
  <c r="I414" i="158" s="1"/>
  <c r="D412" i="158"/>
  <c r="E412" i="158"/>
  <c r="F412" i="158"/>
  <c r="G412" i="158"/>
  <c r="D413" i="158"/>
  <c r="E413" i="158"/>
  <c r="F413" i="158"/>
  <c r="G413" i="158"/>
  <c r="H413" i="158"/>
  <c r="D414" i="158"/>
  <c r="E414" i="158"/>
  <c r="F414" i="158"/>
  <c r="G414" i="158"/>
  <c r="C431" i="101"/>
  <c r="D431" i="101"/>
  <c r="F431" i="101"/>
  <c r="G431" i="101"/>
  <c r="E431" i="101"/>
  <c r="C426" i="101"/>
  <c r="D426" i="101"/>
  <c r="F426" i="101"/>
  <c r="G426" i="101"/>
  <c r="E426" i="101"/>
  <c r="C421" i="101"/>
  <c r="D421" i="101"/>
  <c r="F421" i="101"/>
  <c r="G421" i="101"/>
  <c r="E421" i="101"/>
  <c r="C416" i="101"/>
  <c r="D416" i="101"/>
  <c r="G416" i="101"/>
  <c r="E416" i="101"/>
  <c r="F416" i="101"/>
  <c r="G410" i="101"/>
  <c r="L33" i="157"/>
  <c r="L34" i="157"/>
  <c r="L35" i="157"/>
  <c r="L38" i="157"/>
  <c r="L39" i="157"/>
  <c r="L40" i="157"/>
  <c r="L43" i="157"/>
  <c r="L44" i="157"/>
  <c r="L45" i="157"/>
  <c r="L48" i="157"/>
  <c r="L49" i="157"/>
  <c r="L50" i="157"/>
  <c r="L8" i="157"/>
  <c r="L9" i="157"/>
  <c r="L10" i="157"/>
  <c r="L13" i="157"/>
  <c r="L14" i="157"/>
  <c r="L15" i="157"/>
  <c r="L18" i="157"/>
  <c r="L19" i="157"/>
  <c r="L20" i="157"/>
  <c r="L23" i="157"/>
  <c r="L24" i="157"/>
  <c r="L25" i="157"/>
  <c r="L73" i="100"/>
  <c r="L73" i="157" s="1"/>
  <c r="L74" i="100"/>
  <c r="L74" i="157" s="1"/>
  <c r="L75" i="100"/>
  <c r="L75" i="157" s="1"/>
  <c r="L68" i="100"/>
  <c r="L68" i="157" s="1"/>
  <c r="L69" i="100"/>
  <c r="L69" i="157" s="1"/>
  <c r="L70" i="100"/>
  <c r="L70" i="157" s="1"/>
  <c r="L63" i="100"/>
  <c r="L63" i="157" s="1"/>
  <c r="L64" i="100"/>
  <c r="L64" i="157" s="1"/>
  <c r="L65" i="100"/>
  <c r="L65" i="157" s="1"/>
  <c r="L58" i="100"/>
  <c r="L58" i="157" s="1"/>
  <c r="L59" i="100"/>
  <c r="L59" i="157" s="1"/>
  <c r="L60" i="100"/>
  <c r="L60" i="157" s="1"/>
  <c r="L36" i="100"/>
  <c r="L41" i="100"/>
  <c r="L46" i="100"/>
  <c r="L51" i="100"/>
  <c r="L11" i="100"/>
  <c r="L16" i="100"/>
  <c r="L21" i="100"/>
  <c r="L26" i="100"/>
  <c r="D45" i="156"/>
  <c r="G45" i="156"/>
  <c r="H45" i="156"/>
  <c r="I45" i="156"/>
  <c r="J45" i="156"/>
  <c r="C174" i="156"/>
  <c r="F174" i="156"/>
  <c r="G174" i="156"/>
  <c r="H174" i="156"/>
  <c r="I174" i="156"/>
  <c r="D70" i="156"/>
  <c r="D95" i="156"/>
  <c r="D120" i="156"/>
  <c r="G70" i="156"/>
  <c r="G95" i="156"/>
  <c r="G120" i="156"/>
  <c r="H70" i="156"/>
  <c r="H95" i="156"/>
  <c r="H120" i="156"/>
  <c r="I70" i="156"/>
  <c r="I95" i="156"/>
  <c r="I120" i="156"/>
  <c r="J70" i="156"/>
  <c r="J95" i="156"/>
  <c r="J120" i="156"/>
  <c r="C199" i="156"/>
  <c r="C224" i="156"/>
  <c r="C249" i="156"/>
  <c r="F199" i="156"/>
  <c r="F224" i="156"/>
  <c r="F249" i="156"/>
  <c r="G199" i="156"/>
  <c r="G224" i="156"/>
  <c r="G249" i="156"/>
  <c r="H199" i="156"/>
  <c r="H224" i="156"/>
  <c r="H249" i="156"/>
  <c r="I199" i="156"/>
  <c r="I224" i="156"/>
  <c r="I249" i="156"/>
  <c r="D249" i="156"/>
  <c r="I248" i="156"/>
  <c r="H248" i="156"/>
  <c r="G248" i="156"/>
  <c r="F248" i="156"/>
  <c r="D248" i="156"/>
  <c r="C248" i="156"/>
  <c r="J119" i="156"/>
  <c r="I119" i="156"/>
  <c r="H119" i="156"/>
  <c r="G119" i="156"/>
  <c r="D119" i="156"/>
  <c r="J225" i="99"/>
  <c r="J200" i="99"/>
  <c r="J175" i="99"/>
  <c r="D18" i="99"/>
  <c r="G18" i="99"/>
  <c r="H18" i="99"/>
  <c r="I18" i="99"/>
  <c r="J18" i="99"/>
  <c r="F148" i="99"/>
  <c r="G148" i="99"/>
  <c r="H148" i="99"/>
  <c r="I148" i="99"/>
  <c r="C148" i="99"/>
  <c r="I147" i="99"/>
  <c r="H147" i="99"/>
  <c r="G147" i="99"/>
  <c r="F147" i="99"/>
  <c r="C147" i="99"/>
  <c r="J17" i="99"/>
  <c r="H17" i="99"/>
  <c r="G17" i="99"/>
  <c r="J249" i="99"/>
  <c r="T19" i="120"/>
  <c r="L19" i="160"/>
  <c r="L55" i="160"/>
  <c r="L54" i="160"/>
  <c r="L53" i="160"/>
  <c r="L52" i="160"/>
  <c r="L51" i="160"/>
  <c r="L50" i="160"/>
  <c r="L49" i="160"/>
  <c r="L48" i="160"/>
  <c r="L47" i="160"/>
  <c r="L46" i="160"/>
  <c r="L45" i="160"/>
  <c r="L44" i="160"/>
  <c r="L36" i="160"/>
  <c r="L37" i="160"/>
  <c r="L35" i="160"/>
  <c r="L34" i="160"/>
  <c r="L33" i="160"/>
  <c r="L32" i="160"/>
  <c r="L31" i="160"/>
  <c r="L30" i="160"/>
  <c r="L29" i="160"/>
  <c r="L28" i="160"/>
  <c r="L27" i="160"/>
  <c r="L26" i="160"/>
  <c r="L18" i="160"/>
  <c r="L17" i="160"/>
  <c r="L16" i="160"/>
  <c r="L15" i="160"/>
  <c r="L14" i="160"/>
  <c r="L13" i="160"/>
  <c r="L12" i="160"/>
  <c r="L11" i="160"/>
  <c r="L10" i="160"/>
  <c r="L9" i="160"/>
  <c r="L8" i="160"/>
  <c r="L57" i="160"/>
  <c r="L21" i="160"/>
  <c r="K58" i="102"/>
  <c r="K58" i="159" s="1"/>
  <c r="K59" i="102"/>
  <c r="K59" i="159" s="1"/>
  <c r="K60" i="102"/>
  <c r="K60" i="159" s="1"/>
  <c r="K63" i="102"/>
  <c r="K63" i="159" s="1"/>
  <c r="K68" i="102"/>
  <c r="K68" i="159" s="1"/>
  <c r="K73" i="102"/>
  <c r="K73" i="159" s="1"/>
  <c r="K33" i="159"/>
  <c r="K34" i="159"/>
  <c r="K35" i="159"/>
  <c r="K38" i="159"/>
  <c r="K43" i="159"/>
  <c r="K48" i="159"/>
  <c r="K36" i="102"/>
  <c r="K41" i="102"/>
  <c r="K46" i="102"/>
  <c r="K51" i="102"/>
  <c r="K11" i="102"/>
  <c r="K16" i="102"/>
  <c r="K21" i="102"/>
  <c r="K26" i="102"/>
  <c r="C457" i="158"/>
  <c r="C458" i="158"/>
  <c r="C459" i="158"/>
  <c r="D457" i="158"/>
  <c r="D458" i="158"/>
  <c r="D459" i="158"/>
  <c r="E457" i="158"/>
  <c r="E458" i="158"/>
  <c r="E459" i="158"/>
  <c r="F457" i="158"/>
  <c r="F458" i="158"/>
  <c r="F459" i="158"/>
  <c r="G457" i="158"/>
  <c r="G458" i="158"/>
  <c r="G459" i="158"/>
  <c r="H459" i="101"/>
  <c r="H457" i="158" s="1"/>
  <c r="H460" i="101"/>
  <c r="H458" i="158" s="1"/>
  <c r="H459" i="158"/>
  <c r="I461" i="101"/>
  <c r="I459" i="158" s="1"/>
  <c r="C452" i="158"/>
  <c r="C453" i="158"/>
  <c r="C454" i="158"/>
  <c r="D452" i="158"/>
  <c r="D453" i="158"/>
  <c r="D454" i="158"/>
  <c r="E452" i="158"/>
  <c r="E453" i="158"/>
  <c r="E454" i="158"/>
  <c r="F452" i="158"/>
  <c r="F453" i="158"/>
  <c r="F454" i="158"/>
  <c r="G452" i="158"/>
  <c r="G453" i="158"/>
  <c r="G454" i="158"/>
  <c r="H454" i="101"/>
  <c r="H452" i="158" s="1"/>
  <c r="H455" i="101"/>
  <c r="H453" i="158" s="1"/>
  <c r="H456" i="101"/>
  <c r="H454" i="158" s="1"/>
  <c r="I456" i="101"/>
  <c r="I454" i="158" s="1"/>
  <c r="I455" i="101"/>
  <c r="I453" i="158" s="1"/>
  <c r="I454" i="101"/>
  <c r="I452" i="158" s="1"/>
  <c r="C447" i="158"/>
  <c r="C448" i="158"/>
  <c r="C450" i="158" s="1"/>
  <c r="C449" i="158"/>
  <c r="D447" i="158"/>
  <c r="D448" i="158"/>
  <c r="D449" i="158"/>
  <c r="E447" i="158"/>
  <c r="E448" i="158"/>
  <c r="E449" i="158"/>
  <c r="F447" i="158"/>
  <c r="F448" i="158"/>
  <c r="F449" i="158"/>
  <c r="G447" i="158"/>
  <c r="G448" i="158"/>
  <c r="G449" i="158"/>
  <c r="H449" i="101"/>
  <c r="H447" i="158" s="1"/>
  <c r="H450" i="101"/>
  <c r="H448" i="158" s="1"/>
  <c r="H451" i="101"/>
  <c r="H449" i="158" s="1"/>
  <c r="I451" i="101"/>
  <c r="I449" i="158" s="1"/>
  <c r="I449" i="101"/>
  <c r="I447" i="158" s="1"/>
  <c r="C442" i="158"/>
  <c r="C443" i="158"/>
  <c r="C444" i="158"/>
  <c r="D442" i="158"/>
  <c r="D443" i="158"/>
  <c r="D444" i="158"/>
  <c r="E442" i="158"/>
  <c r="E443" i="158"/>
  <c r="E444" i="158"/>
  <c r="F442" i="158"/>
  <c r="F443" i="158"/>
  <c r="F444" i="158"/>
  <c r="G442" i="158"/>
  <c r="G443" i="158"/>
  <c r="G444" i="158"/>
  <c r="H444" i="101"/>
  <c r="H442" i="158" s="1"/>
  <c r="H443" i="158"/>
  <c r="H446" i="101"/>
  <c r="I446" i="101" s="1"/>
  <c r="I444" i="158" s="1"/>
  <c r="I445" i="101"/>
  <c r="I443" i="158" s="1"/>
  <c r="C462" i="101"/>
  <c r="D462" i="101"/>
  <c r="E462" i="101"/>
  <c r="F462" i="101"/>
  <c r="G462" i="101"/>
  <c r="C457" i="101"/>
  <c r="D457" i="101"/>
  <c r="E457" i="101"/>
  <c r="F457" i="101"/>
  <c r="G457" i="101"/>
  <c r="C452" i="101"/>
  <c r="D452" i="101"/>
  <c r="E452" i="101"/>
  <c r="F452" i="101"/>
  <c r="G452" i="101"/>
  <c r="C447" i="101"/>
  <c r="C441" i="101"/>
  <c r="D447" i="101"/>
  <c r="D441" i="101"/>
  <c r="E447" i="101"/>
  <c r="E441" i="101"/>
  <c r="F447" i="101"/>
  <c r="F441" i="101"/>
  <c r="G447" i="101"/>
  <c r="G441" i="101"/>
  <c r="K58" i="100"/>
  <c r="K58" i="157" s="1"/>
  <c r="K59" i="100"/>
  <c r="K59" i="157" s="1"/>
  <c r="K60" i="100"/>
  <c r="K60" i="157" s="1"/>
  <c r="K63" i="100"/>
  <c r="K63" i="157" s="1"/>
  <c r="K64" i="100"/>
  <c r="K64" i="157" s="1"/>
  <c r="K65" i="100"/>
  <c r="K65" i="157" s="1"/>
  <c r="K68" i="100"/>
  <c r="K68" i="157" s="1"/>
  <c r="K69" i="100"/>
  <c r="K69" i="157" s="1"/>
  <c r="K70" i="100"/>
  <c r="K70" i="157" s="1"/>
  <c r="K73" i="100"/>
  <c r="K73" i="157" s="1"/>
  <c r="K74" i="100"/>
  <c r="K74" i="157" s="1"/>
  <c r="K75" i="100"/>
  <c r="K75" i="157" s="1"/>
  <c r="C58" i="100"/>
  <c r="C59" i="100"/>
  <c r="C60" i="100"/>
  <c r="C63" i="100"/>
  <c r="C64" i="100"/>
  <c r="C65" i="100"/>
  <c r="C68" i="100"/>
  <c r="C69" i="100"/>
  <c r="C70" i="100"/>
  <c r="C73" i="100"/>
  <c r="C74" i="100"/>
  <c r="C75" i="100"/>
  <c r="K33" i="157"/>
  <c r="K34" i="157"/>
  <c r="K35" i="157"/>
  <c r="K38" i="157"/>
  <c r="K39" i="157"/>
  <c r="K40" i="157"/>
  <c r="K43" i="157"/>
  <c r="K44" i="157"/>
  <c r="K45" i="157"/>
  <c r="K48" i="157"/>
  <c r="K49" i="157"/>
  <c r="K50" i="157"/>
  <c r="K8" i="157"/>
  <c r="K9" i="157"/>
  <c r="K10" i="157"/>
  <c r="K13" i="157"/>
  <c r="K14" i="157"/>
  <c r="K15" i="157"/>
  <c r="K18" i="157"/>
  <c r="K19" i="157"/>
  <c r="K20" i="157"/>
  <c r="K23" i="157"/>
  <c r="K24" i="157"/>
  <c r="K25" i="157"/>
  <c r="K36" i="100"/>
  <c r="K41" i="100"/>
  <c r="K46" i="100"/>
  <c r="K51" i="100"/>
  <c r="C36" i="100"/>
  <c r="C41" i="100"/>
  <c r="C46" i="100"/>
  <c r="C51" i="100"/>
  <c r="K11" i="100"/>
  <c r="K16" i="100"/>
  <c r="K21" i="100"/>
  <c r="K26" i="100"/>
  <c r="C11" i="100"/>
  <c r="C16" i="100"/>
  <c r="C21" i="100"/>
  <c r="C26" i="100"/>
  <c r="H173" i="156"/>
  <c r="H198" i="156"/>
  <c r="D69" i="156"/>
  <c r="G69" i="156"/>
  <c r="H69" i="156"/>
  <c r="I69" i="156"/>
  <c r="J69" i="156"/>
  <c r="C198" i="156"/>
  <c r="F198" i="156"/>
  <c r="G198" i="156"/>
  <c r="I198" i="156"/>
  <c r="H223" i="156"/>
  <c r="G40" i="156"/>
  <c r="G65" i="156"/>
  <c r="G90" i="156"/>
  <c r="G115" i="156"/>
  <c r="H40" i="156"/>
  <c r="H65" i="156"/>
  <c r="H90" i="156"/>
  <c r="H115" i="156"/>
  <c r="I40" i="156"/>
  <c r="I65" i="156"/>
  <c r="I90" i="156"/>
  <c r="I115" i="156"/>
  <c r="J40" i="156"/>
  <c r="J65" i="156"/>
  <c r="J90" i="156"/>
  <c r="J115" i="156"/>
  <c r="C169" i="156"/>
  <c r="C194" i="156"/>
  <c r="C219" i="156"/>
  <c r="C244" i="156"/>
  <c r="D169" i="156"/>
  <c r="D194" i="156"/>
  <c r="D219" i="156"/>
  <c r="D244" i="156"/>
  <c r="F169" i="156"/>
  <c r="F194" i="156"/>
  <c r="F219" i="156"/>
  <c r="F244" i="156"/>
  <c r="G169" i="156"/>
  <c r="G194" i="156"/>
  <c r="G219" i="156"/>
  <c r="G244" i="156"/>
  <c r="D94" i="156"/>
  <c r="G44" i="156"/>
  <c r="G94" i="156"/>
  <c r="H44" i="156"/>
  <c r="H94" i="156"/>
  <c r="I94" i="156"/>
  <c r="J44" i="156"/>
  <c r="J94" i="156"/>
  <c r="C173" i="156"/>
  <c r="C223" i="156"/>
  <c r="F173" i="156"/>
  <c r="F223" i="156"/>
  <c r="G173" i="156"/>
  <c r="G223" i="156"/>
  <c r="I173" i="156"/>
  <c r="I223" i="156"/>
  <c r="D247" i="156"/>
  <c r="D145" i="156" s="1"/>
  <c r="G247" i="156"/>
  <c r="H247" i="156"/>
  <c r="I247" i="156"/>
  <c r="C247" i="156"/>
  <c r="J118" i="156"/>
  <c r="I118" i="156"/>
  <c r="H118" i="156"/>
  <c r="G118" i="156"/>
  <c r="D118" i="156"/>
  <c r="I146" i="99"/>
  <c r="H146" i="99"/>
  <c r="G146" i="99"/>
  <c r="J16" i="99"/>
  <c r="I16" i="99"/>
  <c r="G16" i="99"/>
  <c r="C146" i="99"/>
  <c r="I44" i="99"/>
  <c r="I17" i="99" s="1"/>
  <c r="D44" i="99"/>
  <c r="D17" i="99" s="1"/>
  <c r="J224" i="99"/>
  <c r="J199" i="99"/>
  <c r="F248" i="99"/>
  <c r="F247" i="156" s="1"/>
  <c r="P11" i="155"/>
  <c r="P12" i="155"/>
  <c r="V12" i="155" s="1"/>
  <c r="P13" i="155"/>
  <c r="Q13" i="155" s="1"/>
  <c r="P14" i="155"/>
  <c r="V14" i="155" s="1"/>
  <c r="P16" i="155"/>
  <c r="V16" i="155" s="1"/>
  <c r="P17" i="155"/>
  <c r="Q17" i="155" s="1"/>
  <c r="P18" i="155"/>
  <c r="Q18" i="155" s="1"/>
  <c r="P19" i="155"/>
  <c r="Q19" i="155" s="1"/>
  <c r="P20" i="155"/>
  <c r="V20" i="155" s="1"/>
  <c r="P21" i="155"/>
  <c r="Q21" i="155" s="1"/>
  <c r="Y18" i="120"/>
  <c r="T18" i="120" s="1"/>
  <c r="K44" i="160"/>
  <c r="K45" i="160"/>
  <c r="K46" i="160"/>
  <c r="K47" i="160"/>
  <c r="K48" i="160"/>
  <c r="K49" i="160"/>
  <c r="K50" i="160"/>
  <c r="K51" i="160"/>
  <c r="K52" i="160"/>
  <c r="K53" i="160"/>
  <c r="K54" i="160"/>
  <c r="K55" i="160"/>
  <c r="K57" i="160"/>
  <c r="K26" i="160"/>
  <c r="K27" i="160"/>
  <c r="K28" i="160"/>
  <c r="K29" i="160"/>
  <c r="K30" i="160"/>
  <c r="K31" i="160"/>
  <c r="K32" i="160"/>
  <c r="K33" i="160"/>
  <c r="K34" i="160"/>
  <c r="K35" i="160"/>
  <c r="K36" i="160"/>
  <c r="K37" i="160"/>
  <c r="K39" i="160"/>
  <c r="K8" i="160"/>
  <c r="K9" i="160"/>
  <c r="K10" i="160"/>
  <c r="K11" i="160"/>
  <c r="K12" i="160"/>
  <c r="K13" i="160"/>
  <c r="K14" i="160"/>
  <c r="K15" i="160"/>
  <c r="K16" i="160"/>
  <c r="K17" i="160"/>
  <c r="K18" i="160"/>
  <c r="K19" i="160"/>
  <c r="K21" i="160"/>
  <c r="J58" i="102"/>
  <c r="J58" i="159" s="1"/>
  <c r="J59" i="102"/>
  <c r="J59" i="159" s="1"/>
  <c r="J60" i="102"/>
  <c r="J60" i="159" s="1"/>
  <c r="J63" i="102"/>
  <c r="J63" i="159" s="1"/>
  <c r="J64" i="102"/>
  <c r="J64" i="159" s="1"/>
  <c r="J65" i="102"/>
  <c r="J65" i="159" s="1"/>
  <c r="J68" i="102"/>
  <c r="J69" i="102"/>
  <c r="J69" i="159" s="1"/>
  <c r="J70" i="102"/>
  <c r="J70" i="159" s="1"/>
  <c r="J73" i="102"/>
  <c r="J73" i="159" s="1"/>
  <c r="J74" i="102"/>
  <c r="J74" i="159" s="1"/>
  <c r="J75" i="102"/>
  <c r="J75" i="159" s="1"/>
  <c r="J33" i="159"/>
  <c r="J34" i="159"/>
  <c r="J35" i="159"/>
  <c r="J38" i="159"/>
  <c r="J39" i="159"/>
  <c r="J40" i="159"/>
  <c r="J43" i="159"/>
  <c r="J44" i="159"/>
  <c r="J45" i="159"/>
  <c r="J48" i="159"/>
  <c r="J49" i="159"/>
  <c r="J50" i="159"/>
  <c r="C61" i="102"/>
  <c r="C66" i="102"/>
  <c r="C71" i="102"/>
  <c r="C76" i="102"/>
  <c r="J36" i="102"/>
  <c r="J41" i="102"/>
  <c r="J46" i="102"/>
  <c r="J51" i="102"/>
  <c r="J11" i="102"/>
  <c r="J16" i="102"/>
  <c r="J21" i="102"/>
  <c r="J26" i="102"/>
  <c r="H491" i="101"/>
  <c r="I491" i="101"/>
  <c r="I489" i="158" s="1"/>
  <c r="H490" i="101"/>
  <c r="I490" i="101" s="1"/>
  <c r="I488" i="158" s="1"/>
  <c r="H489" i="101"/>
  <c r="I489" i="101" s="1"/>
  <c r="I487" i="158" s="1"/>
  <c r="H486" i="101"/>
  <c r="I486" i="101"/>
  <c r="I484" i="158" s="1"/>
  <c r="H485" i="101"/>
  <c r="I485" i="101" s="1"/>
  <c r="I483" i="158" s="1"/>
  <c r="H484" i="101"/>
  <c r="I484" i="101" s="1"/>
  <c r="I482" i="158" s="1"/>
  <c r="H481" i="101"/>
  <c r="I481" i="101" s="1"/>
  <c r="I479" i="158" s="1"/>
  <c r="H480" i="101"/>
  <c r="I480" i="101" s="1"/>
  <c r="I478" i="158" s="1"/>
  <c r="H479" i="101"/>
  <c r="I479" i="101" s="1"/>
  <c r="I477" i="158" s="1"/>
  <c r="H476" i="101"/>
  <c r="I476" i="101" s="1"/>
  <c r="I474" i="158" s="1"/>
  <c r="H475" i="101"/>
  <c r="I475" i="101" s="1"/>
  <c r="I473" i="158" s="1"/>
  <c r="H474" i="101"/>
  <c r="I474" i="101" s="1"/>
  <c r="I472" i="158" s="1"/>
  <c r="H489" i="158"/>
  <c r="G489" i="158"/>
  <c r="F489" i="158"/>
  <c r="E489" i="158"/>
  <c r="D489" i="158"/>
  <c r="C489" i="158"/>
  <c r="G488" i="158"/>
  <c r="F488" i="158"/>
  <c r="E488" i="158"/>
  <c r="D488" i="158"/>
  <c r="C488" i="158"/>
  <c r="G487" i="158"/>
  <c r="F487" i="158"/>
  <c r="E487" i="158"/>
  <c r="D487" i="158"/>
  <c r="C487" i="158"/>
  <c r="G484" i="158"/>
  <c r="F484" i="158"/>
  <c r="E484" i="158"/>
  <c r="D484" i="158"/>
  <c r="C484" i="158"/>
  <c r="H483" i="158"/>
  <c r="G483" i="158"/>
  <c r="F483" i="158"/>
  <c r="E483" i="158"/>
  <c r="D483" i="158"/>
  <c r="C483" i="158"/>
  <c r="G482" i="158"/>
  <c r="F482" i="158"/>
  <c r="E482" i="158"/>
  <c r="D482" i="158"/>
  <c r="C482" i="158"/>
  <c r="H479" i="158"/>
  <c r="G479" i="158"/>
  <c r="G477" i="158"/>
  <c r="G478" i="158"/>
  <c r="F479" i="158"/>
  <c r="E479" i="158"/>
  <c r="D479" i="158"/>
  <c r="C479" i="158"/>
  <c r="C477" i="158"/>
  <c r="C478" i="158"/>
  <c r="F478" i="158"/>
  <c r="E478" i="158"/>
  <c r="D478" i="158"/>
  <c r="F477" i="158"/>
  <c r="E477" i="158"/>
  <c r="D477" i="158"/>
  <c r="G474" i="158"/>
  <c r="F474" i="158"/>
  <c r="E474" i="158"/>
  <c r="D474" i="158"/>
  <c r="G473" i="158"/>
  <c r="F473" i="158"/>
  <c r="E473" i="158"/>
  <c r="D473" i="158"/>
  <c r="G472" i="158"/>
  <c r="F472" i="158"/>
  <c r="F475" i="158" s="1"/>
  <c r="E472" i="158"/>
  <c r="E475" i="158" s="1"/>
  <c r="D472" i="158"/>
  <c r="C474" i="158"/>
  <c r="C473" i="158"/>
  <c r="C472" i="158"/>
  <c r="C492" i="101"/>
  <c r="D492" i="101"/>
  <c r="E492" i="101"/>
  <c r="F492" i="101"/>
  <c r="G492" i="101"/>
  <c r="C487" i="101"/>
  <c r="D487" i="101"/>
  <c r="E487" i="101"/>
  <c r="F487" i="101"/>
  <c r="G487" i="101"/>
  <c r="C482" i="101"/>
  <c r="D482" i="101"/>
  <c r="E482" i="101"/>
  <c r="F482" i="101"/>
  <c r="G482" i="101"/>
  <c r="C477" i="101"/>
  <c r="D477" i="101"/>
  <c r="E477" i="101"/>
  <c r="F477" i="101"/>
  <c r="G477" i="101"/>
  <c r="C471" i="101"/>
  <c r="J58" i="100"/>
  <c r="J58" i="157" s="1"/>
  <c r="J59" i="100"/>
  <c r="J59" i="157" s="1"/>
  <c r="J60" i="100"/>
  <c r="J60" i="157" s="1"/>
  <c r="J63" i="100"/>
  <c r="J63" i="157" s="1"/>
  <c r="J64" i="100"/>
  <c r="J64" i="157" s="1"/>
  <c r="J65" i="100"/>
  <c r="J65" i="157" s="1"/>
  <c r="J68" i="100"/>
  <c r="J68" i="157" s="1"/>
  <c r="J69" i="100"/>
  <c r="J69" i="157" s="1"/>
  <c r="J70" i="100"/>
  <c r="J70" i="157" s="1"/>
  <c r="J73" i="100"/>
  <c r="J73" i="157" s="1"/>
  <c r="J74" i="100"/>
  <c r="J74" i="157" s="1"/>
  <c r="J75" i="100"/>
  <c r="J75" i="157" s="1"/>
  <c r="J33" i="157"/>
  <c r="J34" i="157"/>
  <c r="J35" i="157"/>
  <c r="J38" i="157"/>
  <c r="J39" i="157"/>
  <c r="J40" i="157"/>
  <c r="J43" i="157"/>
  <c r="J44" i="157"/>
  <c r="J45" i="157"/>
  <c r="J48" i="157"/>
  <c r="J49" i="157"/>
  <c r="J50" i="157"/>
  <c r="J8" i="157"/>
  <c r="J9" i="157"/>
  <c r="J10" i="157"/>
  <c r="J13" i="157"/>
  <c r="J14" i="157"/>
  <c r="J15" i="157"/>
  <c r="J18" i="157"/>
  <c r="J19" i="157"/>
  <c r="J20" i="157"/>
  <c r="J23" i="157"/>
  <c r="J24" i="157"/>
  <c r="J25" i="157"/>
  <c r="J36" i="100"/>
  <c r="J41" i="100"/>
  <c r="J46" i="100"/>
  <c r="J51" i="100"/>
  <c r="J11" i="100"/>
  <c r="J16" i="100"/>
  <c r="J21" i="100"/>
  <c r="J26" i="100"/>
  <c r="H172" i="156"/>
  <c r="H197" i="156"/>
  <c r="H222" i="156"/>
  <c r="F223" i="99"/>
  <c r="F222" i="156" s="1"/>
  <c r="F198" i="99"/>
  <c r="F197" i="156" s="1"/>
  <c r="F173" i="99"/>
  <c r="F172" i="156" s="1"/>
  <c r="D43" i="99"/>
  <c r="D16" i="99" s="1"/>
  <c r="D68" i="156"/>
  <c r="D93" i="156"/>
  <c r="G43" i="156"/>
  <c r="G68" i="156"/>
  <c r="G93" i="156"/>
  <c r="H43" i="99"/>
  <c r="H43" i="156" s="1"/>
  <c r="H68" i="156"/>
  <c r="H93" i="156"/>
  <c r="I43" i="156"/>
  <c r="I68" i="156"/>
  <c r="I93" i="156"/>
  <c r="J43" i="156"/>
  <c r="J68" i="156"/>
  <c r="J93" i="156"/>
  <c r="C172" i="156"/>
  <c r="C197" i="156"/>
  <c r="C222" i="156"/>
  <c r="G172" i="156"/>
  <c r="G197" i="156"/>
  <c r="G222" i="156"/>
  <c r="I172" i="156"/>
  <c r="I197" i="156"/>
  <c r="I222" i="156"/>
  <c r="D144" i="156"/>
  <c r="F171" i="156"/>
  <c r="F196" i="156"/>
  <c r="F221" i="156"/>
  <c r="F246" i="156"/>
  <c r="G171" i="156"/>
  <c r="G196" i="156"/>
  <c r="G221" i="156"/>
  <c r="G246" i="156"/>
  <c r="H171" i="156"/>
  <c r="H196" i="156"/>
  <c r="H221" i="156"/>
  <c r="H246" i="156"/>
  <c r="I171" i="156"/>
  <c r="I196" i="156"/>
  <c r="I221" i="156"/>
  <c r="I246" i="156"/>
  <c r="C171" i="156"/>
  <c r="C196" i="156"/>
  <c r="C221" i="156"/>
  <c r="C246" i="156"/>
  <c r="G42" i="156"/>
  <c r="G67" i="156"/>
  <c r="G92" i="156"/>
  <c r="G117" i="156"/>
  <c r="H42" i="156"/>
  <c r="D42" i="156"/>
  <c r="I42" i="156"/>
  <c r="J42" i="156"/>
  <c r="H67" i="156"/>
  <c r="H92" i="156"/>
  <c r="H117" i="156"/>
  <c r="D92" i="156"/>
  <c r="I92" i="156"/>
  <c r="J92" i="156"/>
  <c r="I67" i="156"/>
  <c r="I117" i="156"/>
  <c r="J67" i="156"/>
  <c r="J117" i="156"/>
  <c r="D67" i="156"/>
  <c r="D117" i="156"/>
  <c r="D116" i="156"/>
  <c r="G116" i="156"/>
  <c r="H116" i="156"/>
  <c r="I116" i="156"/>
  <c r="J116" i="156"/>
  <c r="C245" i="156"/>
  <c r="F245" i="156"/>
  <c r="G245" i="156"/>
  <c r="H245" i="156"/>
  <c r="D115" i="99"/>
  <c r="D115" i="156" s="1"/>
  <c r="D114" i="99"/>
  <c r="D114" i="156" s="1"/>
  <c r="G114" i="156"/>
  <c r="H114" i="156"/>
  <c r="I114" i="156"/>
  <c r="J114" i="156"/>
  <c r="C243" i="156"/>
  <c r="D243" i="156"/>
  <c r="F243" i="156"/>
  <c r="G243" i="156"/>
  <c r="C113" i="156"/>
  <c r="D113" i="99"/>
  <c r="D113" i="156" s="1"/>
  <c r="G113" i="156"/>
  <c r="H113" i="156"/>
  <c r="I113" i="156"/>
  <c r="J113" i="156"/>
  <c r="C242" i="156"/>
  <c r="D242" i="156"/>
  <c r="F242" i="156"/>
  <c r="G242" i="156"/>
  <c r="C112" i="156"/>
  <c r="D112" i="156"/>
  <c r="F112" i="156"/>
  <c r="G112" i="156"/>
  <c r="H112" i="156"/>
  <c r="I112" i="156"/>
  <c r="J112" i="156"/>
  <c r="C241" i="156"/>
  <c r="D241" i="156"/>
  <c r="F241" i="156"/>
  <c r="G241" i="156"/>
  <c r="D91" i="156"/>
  <c r="G91" i="156"/>
  <c r="H91" i="156"/>
  <c r="I91" i="156"/>
  <c r="J91" i="156"/>
  <c r="C220" i="156"/>
  <c r="F220" i="156"/>
  <c r="G220" i="156"/>
  <c r="H220" i="156"/>
  <c r="D90" i="99"/>
  <c r="D90" i="156" s="1"/>
  <c r="D89" i="99"/>
  <c r="D89" i="156" s="1"/>
  <c r="G89" i="156"/>
  <c r="G39" i="156"/>
  <c r="G64" i="156"/>
  <c r="H89" i="156"/>
  <c r="I89" i="156"/>
  <c r="I64" i="156"/>
  <c r="I39" i="156"/>
  <c r="J89" i="156"/>
  <c r="C218" i="156"/>
  <c r="C168" i="156"/>
  <c r="C193" i="156"/>
  <c r="D218" i="156"/>
  <c r="F218" i="156"/>
  <c r="F168" i="156"/>
  <c r="F193" i="156"/>
  <c r="G218" i="156"/>
  <c r="C88" i="156"/>
  <c r="D88" i="99"/>
  <c r="D88" i="156" s="1"/>
  <c r="G88" i="156"/>
  <c r="H88" i="156"/>
  <c r="I88" i="156"/>
  <c r="J88" i="156"/>
  <c r="C217" i="156"/>
  <c r="D217" i="156"/>
  <c r="F217" i="156"/>
  <c r="G217" i="156"/>
  <c r="C87" i="156"/>
  <c r="D87" i="156"/>
  <c r="F87" i="156"/>
  <c r="G87" i="156"/>
  <c r="H87" i="156"/>
  <c r="I87" i="156"/>
  <c r="J87" i="156"/>
  <c r="C216" i="156"/>
  <c r="D216" i="156"/>
  <c r="F216" i="156"/>
  <c r="G216" i="156"/>
  <c r="D66" i="156"/>
  <c r="G66" i="156"/>
  <c r="H66" i="156"/>
  <c r="I66" i="156"/>
  <c r="J66" i="156"/>
  <c r="C195" i="156"/>
  <c r="F195" i="156"/>
  <c r="G195" i="156"/>
  <c r="H195" i="156"/>
  <c r="D65" i="99"/>
  <c r="D65" i="156" s="1"/>
  <c r="D64" i="99"/>
  <c r="D64" i="156" s="1"/>
  <c r="H64" i="156"/>
  <c r="J64" i="156"/>
  <c r="D193" i="156"/>
  <c r="G193" i="156"/>
  <c r="C63" i="156"/>
  <c r="D63" i="99"/>
  <c r="D63" i="156" s="1"/>
  <c r="G63" i="156"/>
  <c r="H63" i="156"/>
  <c r="I63" i="156"/>
  <c r="J63" i="156"/>
  <c r="C192" i="156"/>
  <c r="D192" i="156"/>
  <c r="F192" i="156"/>
  <c r="G192" i="156"/>
  <c r="C62" i="156"/>
  <c r="D62" i="156"/>
  <c r="F62" i="156"/>
  <c r="G62" i="156"/>
  <c r="H62" i="156"/>
  <c r="I62" i="156"/>
  <c r="J62" i="156"/>
  <c r="C191" i="156"/>
  <c r="D191" i="156"/>
  <c r="F191" i="156"/>
  <c r="G191" i="156"/>
  <c r="C37" i="156"/>
  <c r="D37" i="156"/>
  <c r="F37" i="156"/>
  <c r="G37" i="156"/>
  <c r="H37" i="156"/>
  <c r="I37" i="156"/>
  <c r="J37" i="156"/>
  <c r="C166" i="156"/>
  <c r="D166" i="156"/>
  <c r="F166" i="156"/>
  <c r="G166" i="156"/>
  <c r="C38" i="156"/>
  <c r="G38" i="156"/>
  <c r="H38" i="156"/>
  <c r="I38" i="156"/>
  <c r="J38" i="156"/>
  <c r="C167" i="156"/>
  <c r="D167" i="156"/>
  <c r="F167" i="156"/>
  <c r="G167" i="156"/>
  <c r="D38" i="99"/>
  <c r="D38" i="156" s="1"/>
  <c r="D39" i="99"/>
  <c r="D39" i="156" s="1"/>
  <c r="H39" i="156"/>
  <c r="J39" i="156"/>
  <c r="D168" i="156"/>
  <c r="G168" i="156"/>
  <c r="D40" i="99"/>
  <c r="D40" i="156" s="1"/>
  <c r="D41" i="156"/>
  <c r="G41" i="156"/>
  <c r="H41" i="156"/>
  <c r="I41" i="156"/>
  <c r="J41" i="156"/>
  <c r="C170" i="156"/>
  <c r="F170" i="156"/>
  <c r="G170" i="156"/>
  <c r="H170" i="156"/>
  <c r="J250" i="99"/>
  <c r="J247" i="99"/>
  <c r="J246" i="99"/>
  <c r="J242" i="99"/>
  <c r="J241" i="99"/>
  <c r="J222" i="99"/>
  <c r="J221" i="99"/>
  <c r="J217" i="99"/>
  <c r="J216" i="99"/>
  <c r="J198" i="99"/>
  <c r="J197" i="99"/>
  <c r="J196" i="99"/>
  <c r="J192" i="99"/>
  <c r="J191" i="99"/>
  <c r="J167" i="99"/>
  <c r="J168" i="99"/>
  <c r="J171" i="99"/>
  <c r="J172" i="99"/>
  <c r="J166" i="99"/>
  <c r="I145" i="99"/>
  <c r="H145" i="99"/>
  <c r="G145" i="99"/>
  <c r="F145" i="99"/>
  <c r="C145" i="99"/>
  <c r="J15" i="99"/>
  <c r="I15" i="99"/>
  <c r="H15" i="99"/>
  <c r="G15" i="99"/>
  <c r="D15" i="99"/>
  <c r="E57" i="160"/>
  <c r="E55" i="160"/>
  <c r="E54" i="160"/>
  <c r="E53" i="160"/>
  <c r="E52" i="160"/>
  <c r="E51" i="160"/>
  <c r="E50" i="160"/>
  <c r="E49" i="160"/>
  <c r="E48" i="160"/>
  <c r="E47" i="160"/>
  <c r="E46" i="160"/>
  <c r="E45" i="160"/>
  <c r="E44" i="160"/>
  <c r="J57" i="160"/>
  <c r="J55" i="160"/>
  <c r="J54" i="160"/>
  <c r="J53" i="160"/>
  <c r="J52" i="160"/>
  <c r="J51" i="160"/>
  <c r="J50" i="160"/>
  <c r="J49" i="160"/>
  <c r="J48" i="160"/>
  <c r="J47" i="160"/>
  <c r="J46" i="160"/>
  <c r="J45" i="160"/>
  <c r="J44" i="160"/>
  <c r="I57" i="160"/>
  <c r="I55" i="160"/>
  <c r="I54" i="160"/>
  <c r="I53" i="160"/>
  <c r="I52" i="160"/>
  <c r="I51" i="160"/>
  <c r="I50" i="160"/>
  <c r="I49" i="160"/>
  <c r="I48" i="160"/>
  <c r="I47" i="160"/>
  <c r="I46" i="160"/>
  <c r="I45" i="160"/>
  <c r="I44" i="160"/>
  <c r="H57" i="160"/>
  <c r="H55" i="160"/>
  <c r="H54" i="160"/>
  <c r="H53" i="160"/>
  <c r="H52" i="160"/>
  <c r="H51" i="160"/>
  <c r="H50" i="160"/>
  <c r="H49" i="160"/>
  <c r="H48" i="160"/>
  <c r="H47" i="160"/>
  <c r="H46" i="160"/>
  <c r="H45" i="160"/>
  <c r="H44" i="160"/>
  <c r="G57" i="160"/>
  <c r="G55" i="160"/>
  <c r="G54" i="160"/>
  <c r="G53" i="160"/>
  <c r="G52" i="160"/>
  <c r="G51" i="160"/>
  <c r="G50" i="160"/>
  <c r="G49" i="160"/>
  <c r="G48" i="160"/>
  <c r="G47" i="160"/>
  <c r="G46" i="160"/>
  <c r="G45" i="160"/>
  <c r="G44" i="160"/>
  <c r="D57" i="160"/>
  <c r="D55" i="160"/>
  <c r="D54" i="160"/>
  <c r="D53" i="160"/>
  <c r="D52" i="160"/>
  <c r="D51" i="160"/>
  <c r="D50" i="160"/>
  <c r="D49" i="160"/>
  <c r="D48" i="160"/>
  <c r="D47" i="160"/>
  <c r="D46" i="160"/>
  <c r="D45" i="160"/>
  <c r="D44" i="160"/>
  <c r="C57" i="160"/>
  <c r="C55" i="160"/>
  <c r="C54" i="160"/>
  <c r="C53" i="160"/>
  <c r="C52" i="160"/>
  <c r="C51" i="160"/>
  <c r="C50" i="160"/>
  <c r="C49" i="160"/>
  <c r="C48" i="160"/>
  <c r="C47" i="160"/>
  <c r="C46" i="160"/>
  <c r="C45" i="160"/>
  <c r="C44" i="160"/>
  <c r="J39" i="160"/>
  <c r="I39" i="160"/>
  <c r="H39" i="160"/>
  <c r="G39" i="160"/>
  <c r="F39" i="160"/>
  <c r="E39" i="160"/>
  <c r="D39" i="160"/>
  <c r="C39" i="160"/>
  <c r="J37" i="160"/>
  <c r="I37" i="160"/>
  <c r="H37" i="160"/>
  <c r="G37" i="160"/>
  <c r="F37" i="160"/>
  <c r="E37" i="160"/>
  <c r="D37" i="160"/>
  <c r="C37" i="160"/>
  <c r="J36" i="160"/>
  <c r="I36" i="160"/>
  <c r="H36" i="160"/>
  <c r="G36" i="160"/>
  <c r="F36" i="160"/>
  <c r="E36" i="160"/>
  <c r="D36" i="160"/>
  <c r="C36" i="160"/>
  <c r="J35" i="160"/>
  <c r="I35" i="160"/>
  <c r="H35" i="160"/>
  <c r="G35" i="160"/>
  <c r="F35" i="160"/>
  <c r="E35" i="160"/>
  <c r="D35" i="160"/>
  <c r="C35" i="160"/>
  <c r="J34" i="160"/>
  <c r="I34" i="160"/>
  <c r="H34" i="160"/>
  <c r="G34" i="160"/>
  <c r="F34" i="160"/>
  <c r="E34" i="160"/>
  <c r="D34" i="160"/>
  <c r="C34" i="160"/>
  <c r="J33" i="160"/>
  <c r="I33" i="160"/>
  <c r="H33" i="160"/>
  <c r="G33" i="160"/>
  <c r="F33" i="160"/>
  <c r="E33" i="160"/>
  <c r="D33" i="160"/>
  <c r="C33" i="160"/>
  <c r="J32" i="160"/>
  <c r="I32" i="160"/>
  <c r="H32" i="160"/>
  <c r="G32" i="160"/>
  <c r="F32" i="160"/>
  <c r="E32" i="160"/>
  <c r="D32" i="160"/>
  <c r="C32" i="160"/>
  <c r="J31" i="160"/>
  <c r="I31" i="160"/>
  <c r="H31" i="160"/>
  <c r="G31" i="160"/>
  <c r="F31" i="160"/>
  <c r="E31" i="160"/>
  <c r="D31" i="160"/>
  <c r="C31" i="160"/>
  <c r="J30" i="160"/>
  <c r="I30" i="160"/>
  <c r="H30" i="160"/>
  <c r="G30" i="160"/>
  <c r="F30" i="160"/>
  <c r="E30" i="160"/>
  <c r="D30" i="160"/>
  <c r="C30" i="160"/>
  <c r="J29" i="160"/>
  <c r="I29" i="160"/>
  <c r="H29" i="160"/>
  <c r="G29" i="160"/>
  <c r="F29" i="160"/>
  <c r="E29" i="160"/>
  <c r="D29" i="160"/>
  <c r="C29" i="160"/>
  <c r="J28" i="160"/>
  <c r="I28" i="160"/>
  <c r="H28" i="160"/>
  <c r="G28" i="160"/>
  <c r="F28" i="160"/>
  <c r="E28" i="160"/>
  <c r="D28" i="160"/>
  <c r="C28" i="160"/>
  <c r="J27" i="160"/>
  <c r="I27" i="160"/>
  <c r="H27" i="160"/>
  <c r="G27" i="160"/>
  <c r="F27" i="160"/>
  <c r="E27" i="160"/>
  <c r="D27" i="160"/>
  <c r="C27" i="160"/>
  <c r="J26" i="160"/>
  <c r="I26" i="160"/>
  <c r="H26" i="160"/>
  <c r="G26" i="160"/>
  <c r="F26" i="160"/>
  <c r="E26" i="160"/>
  <c r="D26" i="160"/>
  <c r="C26" i="160"/>
  <c r="J21" i="160"/>
  <c r="I21" i="160"/>
  <c r="H21" i="160"/>
  <c r="G21" i="160"/>
  <c r="E21" i="160"/>
  <c r="D21" i="160"/>
  <c r="C21" i="160"/>
  <c r="J19" i="160"/>
  <c r="I19" i="160"/>
  <c r="H19" i="160"/>
  <c r="G19" i="160"/>
  <c r="E19" i="160"/>
  <c r="D19" i="160"/>
  <c r="C19" i="160"/>
  <c r="J18" i="160"/>
  <c r="I18" i="160"/>
  <c r="H18" i="160"/>
  <c r="G18" i="160"/>
  <c r="E18" i="160"/>
  <c r="D18" i="160"/>
  <c r="C18" i="160"/>
  <c r="J17" i="160"/>
  <c r="I17" i="160"/>
  <c r="H17" i="160"/>
  <c r="G17" i="160"/>
  <c r="E17" i="160"/>
  <c r="D17" i="160"/>
  <c r="C17" i="160"/>
  <c r="J16" i="160"/>
  <c r="I16" i="160"/>
  <c r="H16" i="160"/>
  <c r="G16" i="160"/>
  <c r="E16" i="160"/>
  <c r="D16" i="160"/>
  <c r="C16" i="160"/>
  <c r="J15" i="160"/>
  <c r="I15" i="160"/>
  <c r="H15" i="160"/>
  <c r="G15" i="160"/>
  <c r="E15" i="160"/>
  <c r="D15" i="160"/>
  <c r="C15" i="160"/>
  <c r="J14" i="160"/>
  <c r="I14" i="160"/>
  <c r="H14" i="160"/>
  <c r="G14" i="160"/>
  <c r="E14" i="160"/>
  <c r="D14" i="160"/>
  <c r="C14" i="160"/>
  <c r="J13" i="160"/>
  <c r="I13" i="160"/>
  <c r="H13" i="160"/>
  <c r="G13" i="160"/>
  <c r="E13" i="160"/>
  <c r="D13" i="160"/>
  <c r="C13" i="160"/>
  <c r="J12" i="160"/>
  <c r="I12" i="160"/>
  <c r="H12" i="160"/>
  <c r="G12" i="160"/>
  <c r="E12" i="160"/>
  <c r="D12" i="160"/>
  <c r="C12" i="160"/>
  <c r="J11" i="160"/>
  <c r="I11" i="160"/>
  <c r="H11" i="160"/>
  <c r="G11" i="160"/>
  <c r="E11" i="160"/>
  <c r="D11" i="160"/>
  <c r="C11" i="160"/>
  <c r="J10" i="160"/>
  <c r="I10" i="160"/>
  <c r="H10" i="160"/>
  <c r="G10" i="160"/>
  <c r="E10" i="160"/>
  <c r="D10" i="160"/>
  <c r="C10" i="160"/>
  <c r="J9" i="160"/>
  <c r="I9" i="160"/>
  <c r="H9" i="160"/>
  <c r="G9" i="160"/>
  <c r="E9" i="160"/>
  <c r="D9" i="160"/>
  <c r="C9" i="160"/>
  <c r="J8" i="160"/>
  <c r="I8" i="160"/>
  <c r="H8" i="160"/>
  <c r="G8" i="160"/>
  <c r="E8" i="160"/>
  <c r="D8" i="160"/>
  <c r="C8" i="160"/>
  <c r="I75" i="159"/>
  <c r="H75" i="159"/>
  <c r="G75" i="159"/>
  <c r="F75" i="159"/>
  <c r="E75" i="159"/>
  <c r="D75" i="159"/>
  <c r="I74" i="159"/>
  <c r="H74" i="159"/>
  <c r="G74" i="159"/>
  <c r="F74" i="159"/>
  <c r="E74" i="159"/>
  <c r="D74" i="159"/>
  <c r="I73" i="159"/>
  <c r="I76" i="159" s="1"/>
  <c r="H73" i="159"/>
  <c r="H76" i="159" s="1"/>
  <c r="G73" i="159"/>
  <c r="G76" i="159" s="1"/>
  <c r="F73" i="159"/>
  <c r="E73" i="159"/>
  <c r="E76" i="159" s="1"/>
  <c r="D73" i="159"/>
  <c r="I70" i="159"/>
  <c r="H70" i="159"/>
  <c r="G70" i="159"/>
  <c r="F70" i="159"/>
  <c r="E70" i="159"/>
  <c r="D70" i="159"/>
  <c r="I69" i="159"/>
  <c r="H69" i="159"/>
  <c r="G69" i="159"/>
  <c r="G68" i="159"/>
  <c r="F69" i="159"/>
  <c r="E69" i="159"/>
  <c r="E68" i="159"/>
  <c r="D69" i="159"/>
  <c r="I68" i="159"/>
  <c r="I71" i="159" s="1"/>
  <c r="H68" i="159"/>
  <c r="H71" i="159" s="1"/>
  <c r="F68" i="159"/>
  <c r="D68" i="159"/>
  <c r="D71" i="159" s="1"/>
  <c r="I65" i="159"/>
  <c r="H65" i="159"/>
  <c r="G65" i="159"/>
  <c r="F65" i="159"/>
  <c r="E65" i="159"/>
  <c r="D65" i="159"/>
  <c r="I64" i="159"/>
  <c r="H64" i="159"/>
  <c r="G64" i="159"/>
  <c r="F64" i="159"/>
  <c r="E64" i="159"/>
  <c r="E63" i="159"/>
  <c r="E58" i="159"/>
  <c r="E59" i="159"/>
  <c r="E60" i="159"/>
  <c r="D64" i="159"/>
  <c r="I63" i="159"/>
  <c r="H63" i="159"/>
  <c r="H66" i="159" s="1"/>
  <c r="G63" i="159"/>
  <c r="F63" i="159"/>
  <c r="D63" i="159"/>
  <c r="I60" i="159"/>
  <c r="H60" i="159"/>
  <c r="G60" i="159"/>
  <c r="F60" i="159"/>
  <c r="D60" i="159"/>
  <c r="I59" i="159"/>
  <c r="H59" i="159"/>
  <c r="G59" i="159"/>
  <c r="F59" i="159"/>
  <c r="D59" i="159"/>
  <c r="I58" i="159"/>
  <c r="H58" i="159"/>
  <c r="G58" i="159"/>
  <c r="F58" i="159"/>
  <c r="D58" i="159"/>
  <c r="I50" i="159"/>
  <c r="H50" i="159"/>
  <c r="G50" i="159"/>
  <c r="F50" i="159"/>
  <c r="E50" i="159"/>
  <c r="D50" i="159"/>
  <c r="I49" i="159"/>
  <c r="H49" i="159"/>
  <c r="H48" i="159"/>
  <c r="G49" i="159"/>
  <c r="F49" i="159"/>
  <c r="F48" i="159"/>
  <c r="E49" i="159"/>
  <c r="D49" i="159"/>
  <c r="D48" i="159"/>
  <c r="I48" i="159"/>
  <c r="G48" i="159"/>
  <c r="E48" i="159"/>
  <c r="I45" i="159"/>
  <c r="H45" i="159"/>
  <c r="G45" i="159"/>
  <c r="F45" i="159"/>
  <c r="E45" i="159"/>
  <c r="D45" i="159"/>
  <c r="I44" i="159"/>
  <c r="H44" i="159"/>
  <c r="G44" i="159"/>
  <c r="F44" i="159"/>
  <c r="E44" i="159"/>
  <c r="D44" i="159"/>
  <c r="I43" i="159"/>
  <c r="I46" i="159" s="1"/>
  <c r="H43" i="159"/>
  <c r="G43" i="159"/>
  <c r="G46" i="159" s="1"/>
  <c r="F43" i="159"/>
  <c r="F46" i="159" s="1"/>
  <c r="E43" i="159"/>
  <c r="E46" i="159" s="1"/>
  <c r="D43" i="159"/>
  <c r="I40" i="159"/>
  <c r="H40" i="159"/>
  <c r="G40" i="159"/>
  <c r="F40" i="159"/>
  <c r="E40" i="159"/>
  <c r="D40" i="159"/>
  <c r="I39" i="159"/>
  <c r="H39" i="159"/>
  <c r="G39" i="159"/>
  <c r="F39" i="159"/>
  <c r="E39" i="159"/>
  <c r="D39" i="159"/>
  <c r="I38" i="159"/>
  <c r="I41" i="159" s="1"/>
  <c r="H38" i="159"/>
  <c r="H41" i="159" s="1"/>
  <c r="G38" i="159"/>
  <c r="G41" i="159" s="1"/>
  <c r="F38" i="159"/>
  <c r="E38" i="159"/>
  <c r="E41" i="159" s="1"/>
  <c r="D38" i="159"/>
  <c r="D41" i="159" s="1"/>
  <c r="I35" i="159"/>
  <c r="H35" i="159"/>
  <c r="G35" i="159"/>
  <c r="F35" i="159"/>
  <c r="E35" i="159"/>
  <c r="D35" i="159"/>
  <c r="I34" i="159"/>
  <c r="H34" i="159"/>
  <c r="G34" i="159"/>
  <c r="F34" i="159"/>
  <c r="E34" i="159"/>
  <c r="D34" i="159"/>
  <c r="I33" i="159"/>
  <c r="I36" i="159" s="1"/>
  <c r="H33" i="159"/>
  <c r="G33" i="159"/>
  <c r="G36" i="159" s="1"/>
  <c r="F33" i="159"/>
  <c r="E33" i="159"/>
  <c r="E36" i="159" s="1"/>
  <c r="D33" i="159"/>
  <c r="H551" i="101"/>
  <c r="I551" i="101" s="1"/>
  <c r="I549" i="158" s="1"/>
  <c r="G549" i="158"/>
  <c r="F549" i="158"/>
  <c r="D549" i="158"/>
  <c r="C549" i="158"/>
  <c r="H550" i="101"/>
  <c r="I550" i="101" s="1"/>
  <c r="I548" i="158" s="1"/>
  <c r="G548" i="158"/>
  <c r="F548" i="158"/>
  <c r="D548" i="158"/>
  <c r="D547" i="158"/>
  <c r="C548" i="158"/>
  <c r="H549" i="101"/>
  <c r="I549" i="101" s="1"/>
  <c r="I547" i="158" s="1"/>
  <c r="G547" i="158"/>
  <c r="F547" i="158"/>
  <c r="C547" i="158"/>
  <c r="H546" i="101"/>
  <c r="I546" i="101" s="1"/>
  <c r="I544" i="158" s="1"/>
  <c r="G544" i="158"/>
  <c r="F544" i="158"/>
  <c r="E544" i="158"/>
  <c r="D544" i="158"/>
  <c r="C544" i="158"/>
  <c r="H545" i="101"/>
  <c r="I545" i="101" s="1"/>
  <c r="I543" i="158" s="1"/>
  <c r="H543" i="158"/>
  <c r="G543" i="158"/>
  <c r="F543" i="158"/>
  <c r="E543" i="158"/>
  <c r="E545" i="158" s="1"/>
  <c r="D543" i="158"/>
  <c r="C543" i="158"/>
  <c r="H544" i="101"/>
  <c r="I544" i="101" s="1"/>
  <c r="I542" i="158" s="1"/>
  <c r="G542" i="158"/>
  <c r="F542" i="158"/>
  <c r="D542" i="158"/>
  <c r="C542" i="158"/>
  <c r="H541" i="101"/>
  <c r="I541" i="101" s="1"/>
  <c r="I539" i="158" s="1"/>
  <c r="G539" i="158"/>
  <c r="F539" i="158"/>
  <c r="D539" i="158"/>
  <c r="C539" i="158"/>
  <c r="H540" i="101"/>
  <c r="I540" i="101" s="1"/>
  <c r="I538" i="158" s="1"/>
  <c r="G538" i="158"/>
  <c r="F538" i="158"/>
  <c r="D538" i="158"/>
  <c r="C538" i="158"/>
  <c r="H539" i="101"/>
  <c r="I539" i="101"/>
  <c r="I537" i="158" s="1"/>
  <c r="G537" i="158"/>
  <c r="F537" i="158"/>
  <c r="D537" i="158"/>
  <c r="C537" i="158"/>
  <c r="H536" i="101"/>
  <c r="I536" i="101"/>
  <c r="I534" i="158" s="1"/>
  <c r="G534" i="158"/>
  <c r="F534" i="158"/>
  <c r="F535" i="158" s="1"/>
  <c r="D534" i="158"/>
  <c r="C534" i="158"/>
  <c r="H535" i="101"/>
  <c r="I535" i="101"/>
  <c r="I533" i="158" s="1"/>
  <c r="G533" i="158"/>
  <c r="E533" i="158"/>
  <c r="E535" i="158" s="1"/>
  <c r="D533" i="158"/>
  <c r="C533" i="158"/>
  <c r="H534" i="101"/>
  <c r="I534" i="101" s="1"/>
  <c r="I532" i="158" s="1"/>
  <c r="G532" i="158"/>
  <c r="D532" i="158"/>
  <c r="C532" i="158"/>
  <c r="C535" i="158" s="1"/>
  <c r="H521" i="101"/>
  <c r="I521" i="101"/>
  <c r="I519" i="158" s="1"/>
  <c r="G519" i="158"/>
  <c r="D519" i="158"/>
  <c r="C519" i="158"/>
  <c r="H520" i="101"/>
  <c r="I520" i="101" s="1"/>
  <c r="I518" i="158" s="1"/>
  <c r="G518" i="158"/>
  <c r="D518" i="158"/>
  <c r="C518" i="158"/>
  <c r="H519" i="101"/>
  <c r="I519" i="101" s="1"/>
  <c r="I517" i="158" s="1"/>
  <c r="G517" i="158"/>
  <c r="F517" i="158"/>
  <c r="F520" i="158" s="1"/>
  <c r="D517" i="158"/>
  <c r="C517" i="158"/>
  <c r="H516" i="101"/>
  <c r="I516" i="101" s="1"/>
  <c r="I514" i="158" s="1"/>
  <c r="H514" i="158"/>
  <c r="G514" i="158"/>
  <c r="F514" i="158"/>
  <c r="D514" i="158"/>
  <c r="C514" i="158"/>
  <c r="H515" i="101"/>
  <c r="I515" i="101"/>
  <c r="I513" i="158" s="1"/>
  <c r="H513" i="158"/>
  <c r="G513" i="158"/>
  <c r="F513" i="158"/>
  <c r="D513" i="158"/>
  <c r="C513" i="158"/>
  <c r="H514" i="101"/>
  <c r="I514" i="101" s="1"/>
  <c r="I512" i="158" s="1"/>
  <c r="G512" i="158"/>
  <c r="F512" i="158"/>
  <c r="D512" i="158"/>
  <c r="C512" i="158"/>
  <c r="H511" i="101"/>
  <c r="I511" i="101" s="1"/>
  <c r="I509" i="158" s="1"/>
  <c r="G509" i="158"/>
  <c r="F509" i="158"/>
  <c r="D509" i="158"/>
  <c r="C509" i="158"/>
  <c r="H510" i="101"/>
  <c r="I510" i="101" s="1"/>
  <c r="I508" i="158" s="1"/>
  <c r="G508" i="158"/>
  <c r="F508" i="158"/>
  <c r="D508" i="158"/>
  <c r="C508" i="158"/>
  <c r="C507" i="158"/>
  <c r="H509" i="101"/>
  <c r="I509" i="101" s="1"/>
  <c r="I507" i="158" s="1"/>
  <c r="G507" i="158"/>
  <c r="F507" i="158"/>
  <c r="D507" i="158"/>
  <c r="H506" i="101"/>
  <c r="I506" i="101" s="1"/>
  <c r="I504" i="158" s="1"/>
  <c r="G504" i="158"/>
  <c r="F504" i="158"/>
  <c r="E504" i="158"/>
  <c r="D504" i="158"/>
  <c r="C504" i="158"/>
  <c r="H505" i="101"/>
  <c r="I505" i="101" s="1"/>
  <c r="I503" i="158" s="1"/>
  <c r="G503" i="158"/>
  <c r="E503" i="158"/>
  <c r="D503" i="158"/>
  <c r="D502" i="158"/>
  <c r="C503" i="158"/>
  <c r="H504" i="101"/>
  <c r="I504" i="101" s="1"/>
  <c r="I502" i="158" s="1"/>
  <c r="G502" i="158"/>
  <c r="C502" i="158"/>
  <c r="E550" i="158"/>
  <c r="E540" i="158"/>
  <c r="E520" i="158"/>
  <c r="E515" i="158"/>
  <c r="E510" i="158"/>
  <c r="F505" i="158"/>
  <c r="I75" i="100"/>
  <c r="I75" i="157" s="1"/>
  <c r="H75" i="100"/>
  <c r="H75" i="157" s="1"/>
  <c r="G75" i="100"/>
  <c r="G75" i="157" s="1"/>
  <c r="F75" i="100"/>
  <c r="F75" i="157" s="1"/>
  <c r="E75" i="100"/>
  <c r="E75" i="157" s="1"/>
  <c r="D75" i="100"/>
  <c r="D75" i="157" s="1"/>
  <c r="I74" i="100"/>
  <c r="I74" i="157" s="1"/>
  <c r="H74" i="100"/>
  <c r="H74" i="157" s="1"/>
  <c r="G74" i="100"/>
  <c r="G74" i="157" s="1"/>
  <c r="F74" i="100"/>
  <c r="F74" i="157" s="1"/>
  <c r="E74" i="100"/>
  <c r="E74" i="157" s="1"/>
  <c r="D74" i="100"/>
  <c r="D74" i="157" s="1"/>
  <c r="I73" i="100"/>
  <c r="I73" i="157" s="1"/>
  <c r="I76" i="157" s="1"/>
  <c r="H73" i="100"/>
  <c r="H73" i="157" s="1"/>
  <c r="H76" i="157" s="1"/>
  <c r="G73" i="100"/>
  <c r="G73" i="157" s="1"/>
  <c r="F73" i="100"/>
  <c r="F73" i="157" s="1"/>
  <c r="E73" i="100"/>
  <c r="E73" i="157" s="1"/>
  <c r="D73" i="100"/>
  <c r="D73" i="157" s="1"/>
  <c r="I70" i="100"/>
  <c r="I70" i="157" s="1"/>
  <c r="H70" i="100"/>
  <c r="H70" i="157" s="1"/>
  <c r="G70" i="100"/>
  <c r="G70" i="157" s="1"/>
  <c r="F70" i="100"/>
  <c r="F70" i="157" s="1"/>
  <c r="E70" i="100"/>
  <c r="E70" i="157" s="1"/>
  <c r="D70" i="100"/>
  <c r="D70" i="157" s="1"/>
  <c r="I69" i="100"/>
  <c r="I69" i="157" s="1"/>
  <c r="H69" i="100"/>
  <c r="H69" i="157" s="1"/>
  <c r="G69" i="100"/>
  <c r="G69" i="157" s="1"/>
  <c r="F69" i="100"/>
  <c r="F69" i="157" s="1"/>
  <c r="E69" i="100"/>
  <c r="E69" i="157" s="1"/>
  <c r="D69" i="100"/>
  <c r="D69" i="157" s="1"/>
  <c r="I68" i="100"/>
  <c r="I68" i="157" s="1"/>
  <c r="H68" i="100"/>
  <c r="H68" i="157" s="1"/>
  <c r="G68" i="100"/>
  <c r="G68" i="157" s="1"/>
  <c r="F68" i="100"/>
  <c r="F68" i="157" s="1"/>
  <c r="F71" i="157" s="1"/>
  <c r="E68" i="100"/>
  <c r="E68" i="157" s="1"/>
  <c r="D68" i="100"/>
  <c r="D68" i="157" s="1"/>
  <c r="I65" i="100"/>
  <c r="I65" i="157" s="1"/>
  <c r="H65" i="100"/>
  <c r="H65" i="157" s="1"/>
  <c r="G65" i="100"/>
  <c r="G65" i="157" s="1"/>
  <c r="F65" i="100"/>
  <c r="F65" i="157" s="1"/>
  <c r="E65" i="100"/>
  <c r="E65" i="157" s="1"/>
  <c r="D65" i="100"/>
  <c r="D65" i="157" s="1"/>
  <c r="I64" i="100"/>
  <c r="I64" i="157" s="1"/>
  <c r="H64" i="100"/>
  <c r="H64" i="157" s="1"/>
  <c r="G64" i="100"/>
  <c r="G64" i="157" s="1"/>
  <c r="F64" i="100"/>
  <c r="F64" i="157" s="1"/>
  <c r="E64" i="100"/>
  <c r="E64" i="157" s="1"/>
  <c r="D64" i="100"/>
  <c r="D64" i="157" s="1"/>
  <c r="I63" i="100"/>
  <c r="I63" i="157" s="1"/>
  <c r="I66" i="157" s="1"/>
  <c r="H63" i="100"/>
  <c r="H63" i="157" s="1"/>
  <c r="G63" i="100"/>
  <c r="G63" i="157" s="1"/>
  <c r="F63" i="100"/>
  <c r="F63" i="157" s="1"/>
  <c r="E63" i="100"/>
  <c r="E63" i="157" s="1"/>
  <c r="D63" i="100"/>
  <c r="D63" i="157" s="1"/>
  <c r="D66" i="157" s="1"/>
  <c r="I60" i="100"/>
  <c r="I60" i="157" s="1"/>
  <c r="H60" i="100"/>
  <c r="H60" i="157" s="1"/>
  <c r="G60" i="100"/>
  <c r="G60" i="157" s="1"/>
  <c r="F60" i="100"/>
  <c r="F60" i="157" s="1"/>
  <c r="E60" i="100"/>
  <c r="E60" i="157" s="1"/>
  <c r="D60" i="100"/>
  <c r="D60" i="157" s="1"/>
  <c r="I59" i="100"/>
  <c r="I59" i="157" s="1"/>
  <c r="H59" i="100"/>
  <c r="H59" i="157" s="1"/>
  <c r="G59" i="100"/>
  <c r="G59" i="157" s="1"/>
  <c r="F59" i="100"/>
  <c r="F59" i="157" s="1"/>
  <c r="E59" i="100"/>
  <c r="E59" i="157" s="1"/>
  <c r="D59" i="100"/>
  <c r="D59" i="157" s="1"/>
  <c r="I58" i="100"/>
  <c r="I58" i="157" s="1"/>
  <c r="H58" i="100"/>
  <c r="H58" i="157" s="1"/>
  <c r="G58" i="100"/>
  <c r="G58" i="157" s="1"/>
  <c r="G61" i="157" s="1"/>
  <c r="F58" i="100"/>
  <c r="F58" i="157" s="1"/>
  <c r="F61" i="157" s="1"/>
  <c r="E58" i="100"/>
  <c r="E58" i="157" s="1"/>
  <c r="D58" i="100"/>
  <c r="D58" i="157" s="1"/>
  <c r="I50" i="157"/>
  <c r="H50" i="157"/>
  <c r="G50" i="157"/>
  <c r="F50" i="157"/>
  <c r="E50" i="157"/>
  <c r="D50" i="157"/>
  <c r="I49" i="157"/>
  <c r="H49" i="157"/>
  <c r="G49" i="157"/>
  <c r="F49" i="157"/>
  <c r="E49" i="157"/>
  <c r="D49" i="157"/>
  <c r="I48" i="157"/>
  <c r="I51" i="157" s="1"/>
  <c r="H48" i="157"/>
  <c r="H51" i="157" s="1"/>
  <c r="H33" i="157"/>
  <c r="H34" i="157"/>
  <c r="H35" i="157"/>
  <c r="H38" i="157"/>
  <c r="H39" i="157"/>
  <c r="H40" i="157"/>
  <c r="H43" i="157"/>
  <c r="H44" i="157"/>
  <c r="H45" i="157"/>
  <c r="G48" i="157"/>
  <c r="F48" i="157"/>
  <c r="E48" i="157"/>
  <c r="D48" i="157"/>
  <c r="I45" i="157"/>
  <c r="G45" i="157"/>
  <c r="F45" i="157"/>
  <c r="E45" i="157"/>
  <c r="D45" i="157"/>
  <c r="I44" i="157"/>
  <c r="G44" i="157"/>
  <c r="F44" i="157"/>
  <c r="E44" i="157"/>
  <c r="D44" i="157"/>
  <c r="I43" i="157"/>
  <c r="G43" i="157"/>
  <c r="F43" i="157"/>
  <c r="E43" i="157"/>
  <c r="D43" i="157"/>
  <c r="I40" i="157"/>
  <c r="G40" i="157"/>
  <c r="F40" i="157"/>
  <c r="E40" i="157"/>
  <c r="D40" i="157"/>
  <c r="I39" i="157"/>
  <c r="G39" i="157"/>
  <c r="F39" i="157"/>
  <c r="E39" i="157"/>
  <c r="D39" i="157"/>
  <c r="I38" i="157"/>
  <c r="G38" i="157"/>
  <c r="F38" i="157"/>
  <c r="F33" i="157"/>
  <c r="F34" i="157"/>
  <c r="F35" i="157"/>
  <c r="E38" i="157"/>
  <c r="D38" i="157"/>
  <c r="D33" i="157"/>
  <c r="D34" i="157"/>
  <c r="D35" i="157"/>
  <c r="I35" i="157"/>
  <c r="G35" i="157"/>
  <c r="E35" i="157"/>
  <c r="I34" i="157"/>
  <c r="G34" i="157"/>
  <c r="E34" i="157"/>
  <c r="I33" i="157"/>
  <c r="G33" i="157"/>
  <c r="E33" i="157"/>
  <c r="I25" i="157"/>
  <c r="H25" i="157"/>
  <c r="G25" i="157"/>
  <c r="F25" i="157"/>
  <c r="E25" i="157"/>
  <c r="D25" i="157"/>
  <c r="I24" i="157"/>
  <c r="H24" i="157"/>
  <c r="G24" i="157"/>
  <c r="F24" i="157"/>
  <c r="E24" i="157"/>
  <c r="D24" i="157"/>
  <c r="I23" i="157"/>
  <c r="H23" i="157"/>
  <c r="H26" i="157" s="1"/>
  <c r="G23" i="157"/>
  <c r="F23" i="157"/>
  <c r="E23" i="157"/>
  <c r="D23" i="157"/>
  <c r="I20" i="157"/>
  <c r="H20" i="157"/>
  <c r="G20" i="157"/>
  <c r="F20" i="157"/>
  <c r="E20" i="157"/>
  <c r="D20" i="157"/>
  <c r="I19" i="157"/>
  <c r="H19" i="157"/>
  <c r="G19" i="157"/>
  <c r="F19" i="157"/>
  <c r="E19" i="157"/>
  <c r="D19" i="157"/>
  <c r="I18" i="157"/>
  <c r="H18" i="157"/>
  <c r="G18" i="157"/>
  <c r="G21" i="157" s="1"/>
  <c r="F18" i="157"/>
  <c r="F21" i="157" s="1"/>
  <c r="E18" i="157"/>
  <c r="D18" i="157"/>
  <c r="I15" i="157"/>
  <c r="H15" i="157"/>
  <c r="G15" i="157"/>
  <c r="F15" i="157"/>
  <c r="E15" i="157"/>
  <c r="D15" i="157"/>
  <c r="I14" i="157"/>
  <c r="H14" i="157"/>
  <c r="G14" i="157"/>
  <c r="F14" i="157"/>
  <c r="E14" i="157"/>
  <c r="D14" i="157"/>
  <c r="I13" i="157"/>
  <c r="I16" i="157" s="1"/>
  <c r="H13" i="157"/>
  <c r="H16" i="157" s="1"/>
  <c r="H8" i="157"/>
  <c r="H9" i="157"/>
  <c r="H10" i="157"/>
  <c r="G13" i="157"/>
  <c r="F13" i="157"/>
  <c r="F8" i="157"/>
  <c r="F9" i="157"/>
  <c r="F10" i="157"/>
  <c r="E13" i="157"/>
  <c r="D13" i="157"/>
  <c r="D8" i="157"/>
  <c r="D9" i="157"/>
  <c r="D10" i="157"/>
  <c r="I10" i="157"/>
  <c r="G10" i="157"/>
  <c r="E10" i="157"/>
  <c r="I9" i="157"/>
  <c r="G9" i="157"/>
  <c r="G8" i="157"/>
  <c r="E9" i="157"/>
  <c r="I8" i="157"/>
  <c r="E8" i="157"/>
  <c r="I21" i="157"/>
  <c r="N24" i="155"/>
  <c r="O24" i="155"/>
  <c r="O23" i="155"/>
  <c r="N23" i="155"/>
  <c r="Y17" i="120"/>
  <c r="T17" i="120" s="1"/>
  <c r="I11" i="102"/>
  <c r="I16" i="102"/>
  <c r="I21" i="102"/>
  <c r="I26" i="102"/>
  <c r="I36" i="102"/>
  <c r="I41" i="102"/>
  <c r="I46" i="102"/>
  <c r="I51" i="102"/>
  <c r="I61" i="102"/>
  <c r="I66" i="102"/>
  <c r="I71" i="102"/>
  <c r="I76" i="102"/>
  <c r="C522" i="101"/>
  <c r="D522" i="101"/>
  <c r="E522" i="101"/>
  <c r="F522" i="101"/>
  <c r="G522" i="101"/>
  <c r="C517" i="101"/>
  <c r="D517" i="101"/>
  <c r="E517" i="101"/>
  <c r="F517" i="101"/>
  <c r="G517" i="101"/>
  <c r="H517" i="101"/>
  <c r="C512" i="101"/>
  <c r="D512" i="101"/>
  <c r="E512" i="101"/>
  <c r="F512" i="101"/>
  <c r="G512" i="101"/>
  <c r="H512" i="101"/>
  <c r="C507" i="101"/>
  <c r="C501" i="101" s="1"/>
  <c r="D507" i="101"/>
  <c r="E507" i="101"/>
  <c r="F507" i="101"/>
  <c r="G507" i="101"/>
  <c r="G501" i="101" s="1"/>
  <c r="H507" i="101"/>
  <c r="E501" i="101"/>
  <c r="I61" i="100"/>
  <c r="I71" i="100"/>
  <c r="I76" i="100"/>
  <c r="I36" i="100"/>
  <c r="I41" i="100"/>
  <c r="I46" i="100"/>
  <c r="I51" i="100"/>
  <c r="I11" i="100"/>
  <c r="I16" i="100"/>
  <c r="I21" i="100"/>
  <c r="I26" i="100"/>
  <c r="G14" i="99"/>
  <c r="H14" i="99"/>
  <c r="D14" i="99"/>
  <c r="I14" i="99"/>
  <c r="J14" i="99"/>
  <c r="C144" i="99"/>
  <c r="F144" i="99"/>
  <c r="G144" i="99"/>
  <c r="H144" i="99"/>
  <c r="G13" i="99"/>
  <c r="H13" i="99"/>
  <c r="I13" i="99"/>
  <c r="J13" i="99"/>
  <c r="C143" i="99"/>
  <c r="D143" i="99"/>
  <c r="F143" i="99"/>
  <c r="G143" i="99"/>
  <c r="G12" i="99"/>
  <c r="H12" i="99"/>
  <c r="D12" i="99"/>
  <c r="I12" i="99"/>
  <c r="J12" i="99"/>
  <c r="C142" i="99"/>
  <c r="D142" i="99"/>
  <c r="F142" i="99"/>
  <c r="G142" i="99"/>
  <c r="C11" i="99"/>
  <c r="C141" i="99"/>
  <c r="D141" i="99"/>
  <c r="F141" i="99"/>
  <c r="G141" i="99"/>
  <c r="G11" i="99"/>
  <c r="H11" i="99"/>
  <c r="I11" i="99"/>
  <c r="J11" i="99"/>
  <c r="C10" i="99"/>
  <c r="D10" i="99"/>
  <c r="F10" i="99"/>
  <c r="G10" i="99"/>
  <c r="H10" i="99"/>
  <c r="I10" i="99"/>
  <c r="J10" i="99"/>
  <c r="C140" i="99"/>
  <c r="D140" i="99"/>
  <c r="F140" i="99"/>
  <c r="G140" i="99"/>
  <c r="F552" i="101"/>
  <c r="G552" i="101"/>
  <c r="H552" i="101"/>
  <c r="C552" i="101"/>
  <c r="D552" i="101"/>
  <c r="E552" i="101"/>
  <c r="F547" i="101"/>
  <c r="G547" i="101"/>
  <c r="H547" i="101"/>
  <c r="E547" i="101"/>
  <c r="C547" i="101"/>
  <c r="D547" i="101"/>
  <c r="F542" i="101"/>
  <c r="G542" i="101"/>
  <c r="H542" i="101"/>
  <c r="C542" i="101"/>
  <c r="D542" i="101"/>
  <c r="E542" i="101"/>
  <c r="F537" i="101"/>
  <c r="F531" i="101" s="1"/>
  <c r="G537" i="101"/>
  <c r="H537" i="101"/>
  <c r="H531" i="101" s="1"/>
  <c r="C537" i="101"/>
  <c r="D537" i="101"/>
  <c r="E537" i="101"/>
  <c r="G531" i="101"/>
  <c r="H36" i="100"/>
  <c r="H41" i="100"/>
  <c r="H46" i="100"/>
  <c r="H51" i="100"/>
  <c r="H11" i="100"/>
  <c r="H16" i="100"/>
  <c r="H21" i="100"/>
  <c r="H26" i="100"/>
  <c r="Y16" i="120"/>
  <c r="T16" i="120" s="1"/>
  <c r="H61" i="102"/>
  <c r="H66" i="102"/>
  <c r="H71" i="102"/>
  <c r="H76" i="102"/>
  <c r="H36" i="102"/>
  <c r="H41" i="102"/>
  <c r="H46" i="102"/>
  <c r="H51" i="102"/>
  <c r="H11" i="102"/>
  <c r="H16" i="102"/>
  <c r="H21" i="102"/>
  <c r="H26" i="102"/>
  <c r="G36" i="102"/>
  <c r="G41" i="102"/>
  <c r="G46" i="102"/>
  <c r="G51" i="102"/>
  <c r="F36" i="102"/>
  <c r="F41" i="102"/>
  <c r="F46" i="102"/>
  <c r="F51" i="102"/>
  <c r="E36" i="102"/>
  <c r="E41" i="102"/>
  <c r="E46" i="102"/>
  <c r="E51" i="102"/>
  <c r="D36" i="102"/>
  <c r="D41" i="102"/>
  <c r="D46" i="102"/>
  <c r="D51" i="102"/>
  <c r="U24" i="155"/>
  <c r="U23" i="155"/>
  <c r="R24" i="155"/>
  <c r="R23" i="155"/>
  <c r="Q20" i="155"/>
  <c r="Q15" i="155"/>
  <c r="V17" i="155"/>
  <c r="V15" i="155"/>
  <c r="V11" i="155"/>
  <c r="Y15" i="120"/>
  <c r="U15" i="120"/>
  <c r="T15" i="120" s="1"/>
  <c r="G61" i="102"/>
  <c r="G66" i="102"/>
  <c r="G71" i="102"/>
  <c r="G76" i="102"/>
  <c r="G11" i="102"/>
  <c r="G16" i="102"/>
  <c r="G21" i="102"/>
  <c r="G26" i="102"/>
  <c r="G66" i="100"/>
  <c r="G11" i="100"/>
  <c r="G16" i="100"/>
  <c r="G21" i="100"/>
  <c r="G26" i="100"/>
  <c r="G51" i="100"/>
  <c r="G46" i="100"/>
  <c r="G41" i="100"/>
  <c r="G36" i="100"/>
  <c r="D11" i="154"/>
  <c r="D16" i="154"/>
  <c r="D21" i="154"/>
  <c r="D26" i="154"/>
  <c r="C11" i="154"/>
  <c r="C16" i="154"/>
  <c r="C21" i="154"/>
  <c r="C26" i="154"/>
  <c r="J11" i="154"/>
  <c r="J16" i="154"/>
  <c r="J21" i="154"/>
  <c r="J26" i="154"/>
  <c r="H11" i="154"/>
  <c r="I11" i="154" s="1"/>
  <c r="H16" i="154"/>
  <c r="H21" i="154"/>
  <c r="I21" i="154" s="1"/>
  <c r="H26" i="154"/>
  <c r="F25" i="154"/>
  <c r="F24" i="154"/>
  <c r="F23" i="154"/>
  <c r="F21" i="154"/>
  <c r="G21" i="154" s="1"/>
  <c r="F20" i="154"/>
  <c r="F19" i="154"/>
  <c r="K18" i="154"/>
  <c r="I18" i="154"/>
  <c r="F18" i="154"/>
  <c r="G18" i="154" s="1"/>
  <c r="E18" i="154"/>
  <c r="K15" i="154"/>
  <c r="I15" i="154"/>
  <c r="F15" i="154"/>
  <c r="G15" i="154" s="1"/>
  <c r="E15" i="154"/>
  <c r="K14" i="154"/>
  <c r="I14" i="154"/>
  <c r="F14" i="154"/>
  <c r="G14" i="154" s="1"/>
  <c r="E14" i="154"/>
  <c r="K13" i="154"/>
  <c r="I13" i="154"/>
  <c r="F13" i="154"/>
  <c r="G13" i="154" s="1"/>
  <c r="E13" i="154"/>
  <c r="F11" i="154"/>
  <c r="G11" i="154" s="1"/>
  <c r="K10" i="154"/>
  <c r="I10" i="154"/>
  <c r="F10" i="154"/>
  <c r="G10" i="154" s="1"/>
  <c r="E10" i="154"/>
  <c r="K9" i="154"/>
  <c r="I9" i="154"/>
  <c r="F9" i="154"/>
  <c r="G9" i="154" s="1"/>
  <c r="E9" i="154"/>
  <c r="K8" i="154"/>
  <c r="I8" i="154"/>
  <c r="F8" i="154"/>
  <c r="G8" i="154" s="1"/>
  <c r="E8" i="154"/>
  <c r="T12" i="119"/>
  <c r="R12" i="119"/>
  <c r="P12" i="119"/>
  <c r="N12" i="119"/>
  <c r="J59" i="153"/>
  <c r="J64" i="153"/>
  <c r="J69" i="153"/>
  <c r="J74" i="153"/>
  <c r="C59" i="153"/>
  <c r="C64" i="153"/>
  <c r="C69" i="153"/>
  <c r="C74" i="153"/>
  <c r="K74" i="153" s="1"/>
  <c r="H59" i="153"/>
  <c r="H64" i="153"/>
  <c r="H69" i="153"/>
  <c r="H74" i="153"/>
  <c r="I74" i="153" s="1"/>
  <c r="D59" i="153"/>
  <c r="F59" i="153" s="1"/>
  <c r="G59" i="153" s="1"/>
  <c r="D64" i="153"/>
  <c r="F64" i="153" s="1"/>
  <c r="G64" i="153" s="1"/>
  <c r="D69" i="153"/>
  <c r="F69" i="153" s="1"/>
  <c r="G69" i="153" s="1"/>
  <c r="D74" i="153"/>
  <c r="E74" i="153" s="1"/>
  <c r="K73" i="153"/>
  <c r="I73" i="153"/>
  <c r="F73" i="153"/>
  <c r="G73" i="153" s="1"/>
  <c r="E73" i="153"/>
  <c r="K72" i="153"/>
  <c r="I72" i="153"/>
  <c r="F72" i="153"/>
  <c r="G72" i="153" s="1"/>
  <c r="E72" i="153"/>
  <c r="K71" i="153"/>
  <c r="I71" i="153"/>
  <c r="F71" i="153"/>
  <c r="G71" i="153" s="1"/>
  <c r="E71" i="153"/>
  <c r="K69" i="153"/>
  <c r="E69" i="153"/>
  <c r="K68" i="153"/>
  <c r="I68" i="153"/>
  <c r="F68" i="153"/>
  <c r="G68" i="153" s="1"/>
  <c r="E68" i="153"/>
  <c r="K67" i="153"/>
  <c r="I67" i="153"/>
  <c r="F67" i="153"/>
  <c r="G67" i="153" s="1"/>
  <c r="E67" i="153"/>
  <c r="K66" i="153"/>
  <c r="I66" i="153"/>
  <c r="F66" i="153"/>
  <c r="G66" i="153" s="1"/>
  <c r="E66" i="153"/>
  <c r="K64" i="153"/>
  <c r="E64" i="153"/>
  <c r="K63" i="153"/>
  <c r="I63" i="153"/>
  <c r="F63" i="153"/>
  <c r="G63" i="153" s="1"/>
  <c r="E63" i="153"/>
  <c r="K62" i="153"/>
  <c r="I62" i="153"/>
  <c r="F62" i="153"/>
  <c r="G62" i="153" s="1"/>
  <c r="E62" i="153"/>
  <c r="K61" i="153"/>
  <c r="I61" i="153"/>
  <c r="F61" i="153"/>
  <c r="G61" i="153" s="1"/>
  <c r="E61" i="153"/>
  <c r="K59" i="153"/>
  <c r="K58" i="153"/>
  <c r="I58" i="153"/>
  <c r="F58" i="153"/>
  <c r="G58" i="153" s="1"/>
  <c r="E58" i="153"/>
  <c r="K57" i="153"/>
  <c r="I57" i="153"/>
  <c r="F57" i="153"/>
  <c r="G57" i="153" s="1"/>
  <c r="E57" i="153"/>
  <c r="K56" i="153"/>
  <c r="I56" i="153"/>
  <c r="F56" i="153"/>
  <c r="G56" i="153" s="1"/>
  <c r="E56" i="153"/>
  <c r="J32" i="153"/>
  <c r="J33" i="153"/>
  <c r="J34" i="153"/>
  <c r="K34" i="153" s="1"/>
  <c r="J37" i="153"/>
  <c r="J38" i="153"/>
  <c r="J39" i="153"/>
  <c r="K39" i="153"/>
  <c r="J42" i="153"/>
  <c r="J43" i="153"/>
  <c r="K43" i="153" s="1"/>
  <c r="J44" i="153"/>
  <c r="K44" i="153"/>
  <c r="J47" i="153"/>
  <c r="J48" i="153"/>
  <c r="J49" i="153"/>
  <c r="K49" i="153"/>
  <c r="C35" i="153"/>
  <c r="C40" i="153"/>
  <c r="C45" i="153"/>
  <c r="C50" i="153"/>
  <c r="H35" i="153"/>
  <c r="I35" i="153" s="1"/>
  <c r="H40" i="153"/>
  <c r="H45" i="153"/>
  <c r="I45" i="153" s="1"/>
  <c r="H50" i="153"/>
  <c r="I50" i="153" s="1"/>
  <c r="F35" i="153"/>
  <c r="F40" i="153"/>
  <c r="F45" i="153"/>
  <c r="F50" i="153"/>
  <c r="G50" i="153" s="1"/>
  <c r="D35" i="153"/>
  <c r="E35" i="153" s="1"/>
  <c r="D40" i="153"/>
  <c r="D45" i="153"/>
  <c r="E45" i="153" s="1"/>
  <c r="D50" i="153"/>
  <c r="E50" i="153" s="1"/>
  <c r="I49" i="153"/>
  <c r="G49" i="153"/>
  <c r="E49" i="153"/>
  <c r="G48" i="153"/>
  <c r="E48" i="153"/>
  <c r="I47" i="153"/>
  <c r="G47" i="153"/>
  <c r="E47" i="153"/>
  <c r="G45" i="153"/>
  <c r="I44" i="153"/>
  <c r="G44" i="153"/>
  <c r="E44" i="153"/>
  <c r="I43" i="153"/>
  <c r="G43" i="153"/>
  <c r="E43" i="153"/>
  <c r="I42" i="153"/>
  <c r="G42" i="153"/>
  <c r="E42" i="153"/>
  <c r="I40" i="153"/>
  <c r="I39" i="153"/>
  <c r="G39" i="153"/>
  <c r="E39" i="153"/>
  <c r="K38" i="153"/>
  <c r="I38" i="153"/>
  <c r="G38" i="153"/>
  <c r="E38" i="153"/>
  <c r="I37" i="153"/>
  <c r="G37" i="153"/>
  <c r="E37" i="153"/>
  <c r="G35" i="153"/>
  <c r="I34" i="153"/>
  <c r="G34" i="153"/>
  <c r="E34" i="153"/>
  <c r="K33" i="153"/>
  <c r="I33" i="153"/>
  <c r="G33" i="153"/>
  <c r="E33" i="153"/>
  <c r="I32" i="153"/>
  <c r="G32" i="153"/>
  <c r="E32" i="153"/>
  <c r="J8" i="153"/>
  <c r="J9" i="153"/>
  <c r="J10" i="153"/>
  <c r="K10" i="153" s="1"/>
  <c r="J13" i="153"/>
  <c r="K13" i="153" s="1"/>
  <c r="J14" i="153"/>
  <c r="K14" i="153" s="1"/>
  <c r="J15" i="153"/>
  <c r="J16" i="153"/>
  <c r="J18" i="153"/>
  <c r="K18" i="153" s="1"/>
  <c r="J19" i="153"/>
  <c r="K19" i="153" s="1"/>
  <c r="J20" i="153"/>
  <c r="J21" i="153"/>
  <c r="J23" i="153"/>
  <c r="J24" i="153"/>
  <c r="J26" i="153" s="1"/>
  <c r="J25" i="153"/>
  <c r="K25" i="153"/>
  <c r="C11" i="153"/>
  <c r="C16" i="153"/>
  <c r="C21" i="153"/>
  <c r="C26" i="153"/>
  <c r="H11" i="153"/>
  <c r="I11" i="153"/>
  <c r="H16" i="153"/>
  <c r="I16" i="153"/>
  <c r="H21" i="153"/>
  <c r="I21" i="153" s="1"/>
  <c r="H26" i="153"/>
  <c r="H27" i="153" s="1"/>
  <c r="F11" i="153"/>
  <c r="F16" i="153"/>
  <c r="F21" i="153"/>
  <c r="G21" i="153" s="1"/>
  <c r="F26" i="153"/>
  <c r="G26" i="153" s="1"/>
  <c r="D11" i="153"/>
  <c r="E11" i="153" s="1"/>
  <c r="D16" i="153"/>
  <c r="E16" i="153" s="1"/>
  <c r="D21" i="153"/>
  <c r="E21" i="153" s="1"/>
  <c r="D26" i="153"/>
  <c r="E26" i="153" s="1"/>
  <c r="I25" i="153"/>
  <c r="G25" i="153"/>
  <c r="E25" i="153"/>
  <c r="G24" i="153"/>
  <c r="E24" i="153"/>
  <c r="I23" i="153"/>
  <c r="G23" i="153"/>
  <c r="E23" i="153"/>
  <c r="K20" i="153"/>
  <c r="I20" i="153"/>
  <c r="G20" i="153"/>
  <c r="E20" i="153"/>
  <c r="I19" i="153"/>
  <c r="G19" i="153"/>
  <c r="E19" i="153"/>
  <c r="I18" i="153"/>
  <c r="G18" i="153"/>
  <c r="E18" i="153"/>
  <c r="G16" i="153"/>
  <c r="K15" i="153"/>
  <c r="I15" i="153"/>
  <c r="G15" i="153"/>
  <c r="E15" i="153"/>
  <c r="I14" i="153"/>
  <c r="G14" i="153"/>
  <c r="E14" i="153"/>
  <c r="I13" i="153"/>
  <c r="G13" i="153"/>
  <c r="E13" i="153"/>
  <c r="G11" i="153"/>
  <c r="I10" i="153"/>
  <c r="G10" i="153"/>
  <c r="E10" i="153"/>
  <c r="K9" i="153"/>
  <c r="I9" i="153"/>
  <c r="G9" i="153"/>
  <c r="E9" i="153"/>
  <c r="I8" i="153"/>
  <c r="G8" i="153"/>
  <c r="E8" i="153"/>
  <c r="J56" i="97"/>
  <c r="K56" i="97" s="1"/>
  <c r="J57" i="97"/>
  <c r="K57" i="97"/>
  <c r="J58" i="97"/>
  <c r="J61" i="97"/>
  <c r="J62" i="97"/>
  <c r="J63" i="97"/>
  <c r="K63" i="97" s="1"/>
  <c r="J66" i="97"/>
  <c r="J67" i="97"/>
  <c r="K67" i="97" s="1"/>
  <c r="J68" i="97"/>
  <c r="K68" i="97" s="1"/>
  <c r="J71" i="97"/>
  <c r="J72" i="97"/>
  <c r="J73" i="97"/>
  <c r="K73" i="97" s="1"/>
  <c r="C59" i="97"/>
  <c r="C64" i="97"/>
  <c r="C69" i="97"/>
  <c r="C74" i="97"/>
  <c r="H59" i="97"/>
  <c r="H64" i="97"/>
  <c r="H69" i="97"/>
  <c r="I69" i="97" s="1"/>
  <c r="H74" i="97"/>
  <c r="F59" i="97"/>
  <c r="G59" i="97" s="1"/>
  <c r="F64" i="97"/>
  <c r="F69" i="97"/>
  <c r="F74" i="97"/>
  <c r="G74" i="97" s="1"/>
  <c r="D59" i="97"/>
  <c r="E59" i="97" s="1"/>
  <c r="D64" i="97"/>
  <c r="D69" i="97"/>
  <c r="E69" i="97" s="1"/>
  <c r="D74" i="97"/>
  <c r="E74" i="97" s="1"/>
  <c r="I74" i="97"/>
  <c r="I73" i="97"/>
  <c r="G73" i="97"/>
  <c r="E73" i="97"/>
  <c r="G72" i="97"/>
  <c r="E72" i="97"/>
  <c r="I71" i="97"/>
  <c r="G71" i="97"/>
  <c r="E71" i="97"/>
  <c r="I68" i="97"/>
  <c r="G68" i="97"/>
  <c r="E68" i="97"/>
  <c r="I67" i="97"/>
  <c r="G67" i="97"/>
  <c r="E67" i="97"/>
  <c r="I66" i="97"/>
  <c r="G66" i="97"/>
  <c r="E66" i="97"/>
  <c r="E64" i="97"/>
  <c r="I63" i="97"/>
  <c r="G63" i="97"/>
  <c r="E63" i="97"/>
  <c r="K62" i="97"/>
  <c r="I62" i="97"/>
  <c r="G62" i="97"/>
  <c r="E62" i="97"/>
  <c r="K61" i="97"/>
  <c r="I61" i="97"/>
  <c r="G61" i="97"/>
  <c r="E61" i="97"/>
  <c r="I59" i="97"/>
  <c r="K58" i="97"/>
  <c r="I58" i="97"/>
  <c r="G58" i="97"/>
  <c r="E58" i="97"/>
  <c r="I57" i="97"/>
  <c r="G57" i="97"/>
  <c r="E57" i="97"/>
  <c r="I56" i="97"/>
  <c r="G56" i="97"/>
  <c r="E56" i="97"/>
  <c r="J32" i="97"/>
  <c r="J33" i="97"/>
  <c r="J34" i="97"/>
  <c r="K34" i="97"/>
  <c r="J37" i="97"/>
  <c r="J38" i="97"/>
  <c r="K38" i="97" s="1"/>
  <c r="J39" i="97"/>
  <c r="J42" i="97"/>
  <c r="J43" i="97"/>
  <c r="J44" i="97"/>
  <c r="K44" i="97" s="1"/>
  <c r="J47" i="97"/>
  <c r="J48" i="97"/>
  <c r="J49" i="97"/>
  <c r="K49" i="97" s="1"/>
  <c r="C35" i="97"/>
  <c r="C40" i="97"/>
  <c r="C45" i="97"/>
  <c r="C50" i="97"/>
  <c r="H35" i="97"/>
  <c r="H40" i="97"/>
  <c r="H45" i="97"/>
  <c r="H50" i="97"/>
  <c r="I50" i="97" s="1"/>
  <c r="F35" i="97"/>
  <c r="F40" i="97"/>
  <c r="F45" i="97"/>
  <c r="F50" i="97"/>
  <c r="G50" i="97" s="1"/>
  <c r="D35" i="97"/>
  <c r="D40" i="97"/>
  <c r="D45" i="97"/>
  <c r="D50" i="97"/>
  <c r="E50" i="97" s="1"/>
  <c r="I49" i="97"/>
  <c r="G49" i="97"/>
  <c r="E49" i="97"/>
  <c r="G48" i="97"/>
  <c r="E48" i="97"/>
  <c r="K47" i="97"/>
  <c r="I47" i="97"/>
  <c r="G47" i="97"/>
  <c r="E47" i="97"/>
  <c r="I45" i="97"/>
  <c r="I44" i="97"/>
  <c r="G44" i="97"/>
  <c r="E44" i="97"/>
  <c r="K43" i="97"/>
  <c r="I43" i="97"/>
  <c r="G43" i="97"/>
  <c r="E43" i="97"/>
  <c r="I42" i="97"/>
  <c r="G42" i="97"/>
  <c r="E42" i="97"/>
  <c r="G40" i="97"/>
  <c r="K39" i="97"/>
  <c r="I39" i="97"/>
  <c r="G39" i="97"/>
  <c r="E39" i="97"/>
  <c r="I38" i="97"/>
  <c r="G38" i="97"/>
  <c r="E38" i="97"/>
  <c r="K37" i="97"/>
  <c r="I37" i="97"/>
  <c r="G37" i="97"/>
  <c r="E37" i="97"/>
  <c r="E35" i="97"/>
  <c r="I34" i="97"/>
  <c r="G34" i="97"/>
  <c r="E34" i="97"/>
  <c r="K33" i="97"/>
  <c r="I33" i="97"/>
  <c r="G33" i="97"/>
  <c r="E33" i="97"/>
  <c r="K32" i="97"/>
  <c r="I32" i="97"/>
  <c r="G32" i="97"/>
  <c r="E32" i="97"/>
  <c r="J8" i="97"/>
  <c r="J9" i="97"/>
  <c r="J10" i="97"/>
  <c r="J13" i="97"/>
  <c r="J14" i="97"/>
  <c r="J15" i="97"/>
  <c r="J18" i="97"/>
  <c r="J19" i="97"/>
  <c r="J20" i="97"/>
  <c r="J23" i="97"/>
  <c r="J24" i="97"/>
  <c r="J25" i="97"/>
  <c r="K25" i="97" s="1"/>
  <c r="C11" i="97"/>
  <c r="C16" i="97"/>
  <c r="C21" i="97"/>
  <c r="C26" i="97"/>
  <c r="H11" i="97"/>
  <c r="H16" i="97"/>
  <c r="H21" i="97"/>
  <c r="H26" i="97"/>
  <c r="I26" i="97" s="1"/>
  <c r="F11" i="97"/>
  <c r="F16" i="97"/>
  <c r="F21" i="97"/>
  <c r="F26" i="97"/>
  <c r="D11" i="97"/>
  <c r="D16" i="97"/>
  <c r="E16" i="97" s="1"/>
  <c r="D21" i="97"/>
  <c r="E21" i="97" s="1"/>
  <c r="D26" i="97"/>
  <c r="E26" i="97" s="1"/>
  <c r="G26" i="97"/>
  <c r="I25" i="97"/>
  <c r="G25" i="97"/>
  <c r="E25" i="97"/>
  <c r="K23" i="97"/>
  <c r="I23" i="97"/>
  <c r="G23" i="97"/>
  <c r="E23" i="97"/>
  <c r="G21" i="97"/>
  <c r="K20" i="97"/>
  <c r="I20" i="97"/>
  <c r="G20" i="97"/>
  <c r="E20" i="97"/>
  <c r="K19" i="97"/>
  <c r="I19" i="97"/>
  <c r="G19" i="97"/>
  <c r="E19" i="97"/>
  <c r="K18" i="97"/>
  <c r="I18" i="97"/>
  <c r="G18" i="97"/>
  <c r="E18" i="97"/>
  <c r="G16" i="97"/>
  <c r="K15" i="97"/>
  <c r="I15" i="97"/>
  <c r="G15" i="97"/>
  <c r="E15" i="97"/>
  <c r="K14" i="97"/>
  <c r="I14" i="97"/>
  <c r="G14" i="97"/>
  <c r="E14" i="97"/>
  <c r="K13" i="97"/>
  <c r="I13" i="97"/>
  <c r="G13" i="97"/>
  <c r="E13" i="97"/>
  <c r="G11" i="97"/>
  <c r="E11" i="97"/>
  <c r="K10" i="97"/>
  <c r="I10" i="97"/>
  <c r="G10" i="97"/>
  <c r="E10" i="97"/>
  <c r="K9" i="97"/>
  <c r="I9" i="97"/>
  <c r="G9" i="97"/>
  <c r="E9" i="97"/>
  <c r="K8" i="97"/>
  <c r="I8" i="97"/>
  <c r="G8" i="97"/>
  <c r="E8" i="97"/>
  <c r="T14" i="120"/>
  <c r="D11" i="102"/>
  <c r="E11" i="102"/>
  <c r="F11" i="102"/>
  <c r="D16" i="102"/>
  <c r="E16" i="102"/>
  <c r="F16" i="102"/>
  <c r="D21" i="102"/>
  <c r="E21" i="102"/>
  <c r="F21" i="102"/>
  <c r="D26" i="102"/>
  <c r="E26" i="102"/>
  <c r="F26" i="102"/>
  <c r="D61" i="102"/>
  <c r="E61" i="102"/>
  <c r="F61" i="102"/>
  <c r="D66" i="102"/>
  <c r="E66" i="102"/>
  <c r="F66" i="102"/>
  <c r="D71" i="102"/>
  <c r="E71" i="102"/>
  <c r="F71" i="102"/>
  <c r="D76" i="102"/>
  <c r="E76" i="102"/>
  <c r="F76" i="102"/>
  <c r="D531" i="101"/>
  <c r="D11" i="100"/>
  <c r="E11" i="100"/>
  <c r="F11" i="100"/>
  <c r="D36" i="100"/>
  <c r="E36" i="100"/>
  <c r="F36" i="100"/>
  <c r="D16" i="100"/>
  <c r="E16" i="100"/>
  <c r="F16" i="100"/>
  <c r="D41" i="100"/>
  <c r="E41" i="100"/>
  <c r="F41" i="100"/>
  <c r="D21" i="100"/>
  <c r="E21" i="100"/>
  <c r="F21" i="100"/>
  <c r="D46" i="100"/>
  <c r="E46" i="100"/>
  <c r="F46" i="100"/>
  <c r="D26" i="100"/>
  <c r="E26" i="100"/>
  <c r="F26" i="100"/>
  <c r="D51" i="100"/>
  <c r="E51" i="100"/>
  <c r="F51" i="100"/>
  <c r="D28" i="100"/>
  <c r="E28" i="100"/>
  <c r="F28" i="100"/>
  <c r="D53" i="100"/>
  <c r="E53" i="100"/>
  <c r="F53" i="100"/>
  <c r="F61" i="100"/>
  <c r="E71" i="100"/>
  <c r="F76" i="100"/>
  <c r="Y8" i="120"/>
  <c r="Y9" i="120"/>
  <c r="Y10" i="120"/>
  <c r="U11" i="120"/>
  <c r="Y11" i="120" s="1"/>
  <c r="U12" i="120"/>
  <c r="Y12" i="120" s="1"/>
  <c r="U13" i="120"/>
  <c r="Y13" i="120"/>
  <c r="J74" i="97"/>
  <c r="K74" i="97" s="1"/>
  <c r="K71" i="97"/>
  <c r="F51" i="153"/>
  <c r="G40" i="153"/>
  <c r="J45" i="153"/>
  <c r="K45" i="153" s="1"/>
  <c r="K42" i="153"/>
  <c r="J35" i="153"/>
  <c r="K32" i="153"/>
  <c r="K21" i="154"/>
  <c r="E21" i="154"/>
  <c r="K11" i="154"/>
  <c r="E11" i="154"/>
  <c r="D75" i="97"/>
  <c r="H75" i="97"/>
  <c r="J64" i="97"/>
  <c r="K64" i="97" s="1"/>
  <c r="C51" i="153"/>
  <c r="H27" i="154"/>
  <c r="F75" i="97"/>
  <c r="G64" i="97"/>
  <c r="J69" i="97"/>
  <c r="K69" i="97" s="1"/>
  <c r="K66" i="97"/>
  <c r="J50" i="153"/>
  <c r="K50" i="153" s="1"/>
  <c r="K47" i="153"/>
  <c r="J40" i="153"/>
  <c r="K40" i="153" s="1"/>
  <c r="K37" i="153"/>
  <c r="J27" i="154"/>
  <c r="K16" i="154"/>
  <c r="D27" i="154"/>
  <c r="F16" i="154"/>
  <c r="G16" i="154" s="1"/>
  <c r="E16" i="154"/>
  <c r="I64" i="97"/>
  <c r="C75" i="97"/>
  <c r="J59" i="97"/>
  <c r="E40" i="153"/>
  <c r="D51" i="153"/>
  <c r="E51" i="153" s="1"/>
  <c r="H51" i="153"/>
  <c r="I51" i="153" s="1"/>
  <c r="I69" i="153"/>
  <c r="I59" i="153"/>
  <c r="J75" i="153"/>
  <c r="I16" i="154"/>
  <c r="F26" i="154"/>
  <c r="C531" i="101"/>
  <c r="D501" i="101"/>
  <c r="H522" i="101"/>
  <c r="I522" i="101" s="1"/>
  <c r="H502" i="158"/>
  <c r="H503" i="158"/>
  <c r="H518" i="158"/>
  <c r="H532" i="158"/>
  <c r="H533" i="158"/>
  <c r="H534" i="158"/>
  <c r="H537" i="158"/>
  <c r="H538" i="158"/>
  <c r="H539" i="158"/>
  <c r="H542" i="158"/>
  <c r="H544" i="158"/>
  <c r="H547" i="158"/>
  <c r="H548" i="158"/>
  <c r="H549" i="158"/>
  <c r="J193" i="99"/>
  <c r="J243" i="99"/>
  <c r="J76" i="100"/>
  <c r="D471" i="101"/>
  <c r="H482" i="101"/>
  <c r="I482" i="101" s="1"/>
  <c r="H492" i="101"/>
  <c r="I492" i="101" s="1"/>
  <c r="H472" i="158"/>
  <c r="H474" i="158"/>
  <c r="H478" i="158"/>
  <c r="H482" i="158"/>
  <c r="H484" i="158"/>
  <c r="H488" i="158"/>
  <c r="J248" i="99"/>
  <c r="H447" i="101"/>
  <c r="I459" i="101"/>
  <c r="I457" i="158" s="1"/>
  <c r="I460" i="101"/>
  <c r="I458" i="158" s="1"/>
  <c r="L39" i="160"/>
  <c r="H414" i="158"/>
  <c r="H412" i="158"/>
  <c r="H418" i="158"/>
  <c r="M39" i="160"/>
  <c r="M41" i="100"/>
  <c r="M65" i="100"/>
  <c r="M65" i="157" s="1"/>
  <c r="M75" i="100"/>
  <c r="M19" i="157"/>
  <c r="M9" i="157"/>
  <c r="M48" i="157"/>
  <c r="M38" i="157"/>
  <c r="M35" i="157"/>
  <c r="M16" i="100"/>
  <c r="M64" i="100"/>
  <c r="M64" i="157" s="1"/>
  <c r="M74" i="100"/>
  <c r="I447" i="101"/>
  <c r="F27" i="154"/>
  <c r="K35" i="153"/>
  <c r="J51" i="153"/>
  <c r="K51" i="153" s="1"/>
  <c r="G75" i="97"/>
  <c r="H501" i="101"/>
  <c r="E75" i="97"/>
  <c r="G51" i="153"/>
  <c r="M74" i="157"/>
  <c r="M75" i="157"/>
  <c r="J75" i="97"/>
  <c r="K75" i="97" s="1"/>
  <c r="K59" i="97"/>
  <c r="I75" i="97"/>
  <c r="K71" i="102"/>
  <c r="H504" i="158"/>
  <c r="H507" i="158"/>
  <c r="H508" i="158"/>
  <c r="H509" i="158"/>
  <c r="H517" i="158"/>
  <c r="F471" i="101"/>
  <c r="G475" i="158"/>
  <c r="H385" i="101"/>
  <c r="E460" i="158"/>
  <c r="E399" i="158"/>
  <c r="F51" i="97"/>
  <c r="J35" i="97"/>
  <c r="I11" i="97"/>
  <c r="I16" i="97"/>
  <c r="E40" i="97"/>
  <c r="I40" i="97"/>
  <c r="K42" i="97"/>
  <c r="K8" i="153"/>
  <c r="K23" i="153"/>
  <c r="I64" i="153"/>
  <c r="F74" i="153"/>
  <c r="G74" i="153" s="1"/>
  <c r="H519" i="158"/>
  <c r="I420" i="101"/>
  <c r="I419" i="158" s="1"/>
  <c r="H419" i="158"/>
  <c r="H16" i="99"/>
  <c r="H444" i="158"/>
  <c r="H422" i="158"/>
  <c r="H426" i="101"/>
  <c r="I426" i="101" s="1"/>
  <c r="J169" i="99"/>
  <c r="J223" i="99"/>
  <c r="H477" i="101"/>
  <c r="H471" i="101" s="1"/>
  <c r="H487" i="101"/>
  <c r="I487" i="101" s="1"/>
  <c r="H473" i="158"/>
  <c r="H477" i="158"/>
  <c r="H487" i="158"/>
  <c r="I44" i="156"/>
  <c r="H452" i="101"/>
  <c r="H462" i="101"/>
  <c r="I462" i="101"/>
  <c r="C410" i="101"/>
  <c r="H421" i="101"/>
  <c r="H417" i="158"/>
  <c r="I424" i="101"/>
  <c r="I423" i="158" s="1"/>
  <c r="H431" i="101"/>
  <c r="I431" i="101"/>
  <c r="C53" i="102"/>
  <c r="M18" i="157"/>
  <c r="H382" i="101"/>
  <c r="H381" i="158" s="1"/>
  <c r="H384" i="101"/>
  <c r="H383" i="158" s="1"/>
  <c r="H383" i="101"/>
  <c r="H382" i="158" s="1"/>
  <c r="O21" i="160"/>
  <c r="O39" i="160"/>
  <c r="K35" i="97"/>
  <c r="I421" i="101"/>
  <c r="I452" i="101"/>
  <c r="I477" i="101"/>
  <c r="I471" i="101" s="1"/>
  <c r="D76" i="159" l="1"/>
  <c r="F41" i="159"/>
  <c r="F36" i="159"/>
  <c r="D36" i="159"/>
  <c r="H36" i="159"/>
  <c r="H46" i="159"/>
  <c r="F66" i="159"/>
  <c r="F76" i="159"/>
  <c r="I26" i="157"/>
  <c r="D16" i="157"/>
  <c r="H21" i="157"/>
  <c r="H61" i="157"/>
  <c r="E21" i="157"/>
  <c r="G26" i="157"/>
  <c r="E61" i="157"/>
  <c r="I61" i="157"/>
  <c r="I71" i="157"/>
  <c r="D301" i="158"/>
  <c r="E505" i="158"/>
  <c r="F510" i="158"/>
  <c r="C545" i="158"/>
  <c r="F480" i="158"/>
  <c r="C490" i="158"/>
  <c r="D450" i="158"/>
  <c r="F455" i="158"/>
  <c r="H460" i="158"/>
  <c r="G460" i="158"/>
  <c r="C460" i="158"/>
  <c r="C415" i="158"/>
  <c r="F420" i="158"/>
  <c r="D384" i="158"/>
  <c r="E384" i="158"/>
  <c r="G389" i="158"/>
  <c r="F384" i="158"/>
  <c r="F394" i="158"/>
  <c r="G353" i="158"/>
  <c r="F353" i="158"/>
  <c r="C353" i="158"/>
  <c r="G363" i="158"/>
  <c r="D363" i="158"/>
  <c r="C363" i="158"/>
  <c r="I332" i="158"/>
  <c r="E332" i="158"/>
  <c r="D535" i="158"/>
  <c r="F332" i="158"/>
  <c r="D475" i="158"/>
  <c r="H425" i="158"/>
  <c r="H415" i="158"/>
  <c r="H480" i="158"/>
  <c r="H520" i="158"/>
  <c r="H550" i="158"/>
  <c r="F545" i="158"/>
  <c r="E455" i="158"/>
  <c r="F460" i="158"/>
  <c r="E394" i="158"/>
  <c r="G394" i="158"/>
  <c r="E353" i="158"/>
  <c r="D291" i="158"/>
  <c r="F301" i="158"/>
  <c r="I306" i="158"/>
  <c r="G505" i="158"/>
  <c r="G545" i="158"/>
  <c r="G485" i="158"/>
  <c r="G445" i="158"/>
  <c r="G450" i="158"/>
  <c r="C420" i="158"/>
  <c r="G425" i="158"/>
  <c r="E291" i="158"/>
  <c r="I291" i="158"/>
  <c r="I285" i="158" s="1"/>
  <c r="D296" i="158"/>
  <c r="H296" i="158"/>
  <c r="G301" i="158"/>
  <c r="F306" i="158"/>
  <c r="F285" i="158" s="1"/>
  <c r="F176" i="156"/>
  <c r="D44" i="156"/>
  <c r="D17" i="156" s="1"/>
  <c r="J194" i="99"/>
  <c r="J245" i="99"/>
  <c r="J244" i="99"/>
  <c r="Q16" i="155"/>
  <c r="H450" i="158"/>
  <c r="H445" i="158"/>
  <c r="J26" i="97"/>
  <c r="K26" i="97" s="1"/>
  <c r="J16" i="97"/>
  <c r="K16" i="97" s="1"/>
  <c r="H51" i="97"/>
  <c r="E45" i="97"/>
  <c r="G69" i="97"/>
  <c r="I444" i="101"/>
  <c r="I442" i="158" s="1"/>
  <c r="I450" i="101"/>
  <c r="I448" i="158" s="1"/>
  <c r="M21" i="100"/>
  <c r="G348" i="101"/>
  <c r="E348" i="101"/>
  <c r="J297" i="101"/>
  <c r="D27" i="97"/>
  <c r="F27" i="97"/>
  <c r="H27" i="97"/>
  <c r="J21" i="97"/>
  <c r="K21" i="97" s="1"/>
  <c r="J11" i="97"/>
  <c r="K11" i="97" s="1"/>
  <c r="I547" i="101"/>
  <c r="C399" i="158"/>
  <c r="H359" i="101"/>
  <c r="D353" i="158"/>
  <c r="C505" i="158"/>
  <c r="G510" i="158"/>
  <c r="G515" i="158"/>
  <c r="D520" i="158"/>
  <c r="G550" i="158"/>
  <c r="E480" i="158"/>
  <c r="F445" i="158"/>
  <c r="D445" i="158"/>
  <c r="F450" i="158"/>
  <c r="D455" i="158"/>
  <c r="H490" i="158"/>
  <c r="C520" i="158"/>
  <c r="G535" i="158"/>
  <c r="E529" i="158"/>
  <c r="C540" i="158"/>
  <c r="F540" i="158"/>
  <c r="F550" i="158"/>
  <c r="D394" i="158"/>
  <c r="D399" i="158"/>
  <c r="C384" i="158"/>
  <c r="C389" i="158"/>
  <c r="E389" i="158"/>
  <c r="E378" i="158" s="1"/>
  <c r="G399" i="158"/>
  <c r="F389" i="158"/>
  <c r="F378" i="158" s="1"/>
  <c r="F399" i="158"/>
  <c r="F363" i="158"/>
  <c r="N61" i="100"/>
  <c r="M69" i="100"/>
  <c r="M69" i="157" s="1"/>
  <c r="M70" i="100"/>
  <c r="M70" i="157" s="1"/>
  <c r="M60" i="100"/>
  <c r="M60" i="157" s="1"/>
  <c r="K71" i="100"/>
  <c r="H71" i="100"/>
  <c r="M11" i="100"/>
  <c r="M36" i="100"/>
  <c r="O11" i="100"/>
  <c r="Q53" i="100"/>
  <c r="N71" i="100"/>
  <c r="C61" i="100"/>
  <c r="L61" i="100"/>
  <c r="K61" i="100"/>
  <c r="C76" i="100"/>
  <c r="D76" i="100"/>
  <c r="F66" i="100"/>
  <c r="D61" i="100"/>
  <c r="H66" i="100"/>
  <c r="M53" i="100"/>
  <c r="M8" i="157"/>
  <c r="M11" i="157" s="1"/>
  <c r="L76" i="100"/>
  <c r="K66" i="100"/>
  <c r="J71" i="100"/>
  <c r="M26" i="100"/>
  <c r="M28" i="100" s="1"/>
  <c r="M33" i="157"/>
  <c r="M36" i="157" s="1"/>
  <c r="M73" i="100"/>
  <c r="M73" i="157" s="1"/>
  <c r="M76" i="157" s="1"/>
  <c r="M63" i="100"/>
  <c r="M63" i="157" s="1"/>
  <c r="M66" i="157" s="1"/>
  <c r="M58" i="100"/>
  <c r="M58" i="157" s="1"/>
  <c r="L71" i="100"/>
  <c r="C66" i="100"/>
  <c r="J66" i="100"/>
  <c r="E76" i="100"/>
  <c r="F71" i="100"/>
  <c r="F78" i="100" s="1"/>
  <c r="D71" i="100"/>
  <c r="E66" i="100"/>
  <c r="E61" i="100"/>
  <c r="G71" i="100"/>
  <c r="G61" i="100"/>
  <c r="H76" i="100"/>
  <c r="I28" i="100"/>
  <c r="I66" i="100"/>
  <c r="G71" i="157"/>
  <c r="K28" i="100"/>
  <c r="C71" i="100"/>
  <c r="O26" i="100"/>
  <c r="O16" i="100"/>
  <c r="H540" i="158"/>
  <c r="I35" i="97"/>
  <c r="G45" i="97"/>
  <c r="G35" i="97"/>
  <c r="J50" i="97"/>
  <c r="J45" i="97"/>
  <c r="J40" i="97"/>
  <c r="I26" i="153"/>
  <c r="E531" i="101"/>
  <c r="I542" i="101"/>
  <c r="F501" i="101"/>
  <c r="I512" i="101"/>
  <c r="C510" i="158"/>
  <c r="D515" i="158"/>
  <c r="H512" i="158"/>
  <c r="H515" i="158" s="1"/>
  <c r="D550" i="158"/>
  <c r="J195" i="99"/>
  <c r="J220" i="99"/>
  <c r="J61" i="100"/>
  <c r="G471" i="101"/>
  <c r="E471" i="101"/>
  <c r="C475" i="158"/>
  <c r="C480" i="158"/>
  <c r="G480" i="158"/>
  <c r="E485" i="158"/>
  <c r="D485" i="158"/>
  <c r="E490" i="158"/>
  <c r="G490" i="158"/>
  <c r="K61" i="157"/>
  <c r="F286" i="101"/>
  <c r="H286" i="101"/>
  <c r="J230" i="101"/>
  <c r="J228" i="158" s="1"/>
  <c r="J199" i="101"/>
  <c r="J197" i="158" s="1"/>
  <c r="D75" i="153"/>
  <c r="H75" i="153"/>
  <c r="I552" i="101"/>
  <c r="H457" i="101"/>
  <c r="H441" i="101" s="1"/>
  <c r="L66" i="100"/>
  <c r="L78" i="100" s="1"/>
  <c r="F410" i="101"/>
  <c r="H416" i="101"/>
  <c r="D410" i="101"/>
  <c r="F415" i="158"/>
  <c r="D425" i="158"/>
  <c r="C430" i="158"/>
  <c r="H430" i="158"/>
  <c r="F430" i="158"/>
  <c r="J302" i="101"/>
  <c r="J300" i="158" s="1"/>
  <c r="Q14" i="155"/>
  <c r="H420" i="158"/>
  <c r="H475" i="158"/>
  <c r="H353" i="158"/>
  <c r="H505" i="158"/>
  <c r="C515" i="158"/>
  <c r="D505" i="158"/>
  <c r="V21" i="155"/>
  <c r="V19" i="155"/>
  <c r="Q12" i="155"/>
  <c r="Q78" i="102"/>
  <c r="E53" i="102"/>
  <c r="K53" i="102"/>
  <c r="M66" i="159"/>
  <c r="J36" i="159"/>
  <c r="N41" i="159"/>
  <c r="H485" i="158"/>
  <c r="D540" i="158"/>
  <c r="F515" i="158"/>
  <c r="F499" i="158" s="1"/>
  <c r="C550" i="158"/>
  <c r="D285" i="158"/>
  <c r="G430" i="158"/>
  <c r="G358" i="158"/>
  <c r="E358" i="158"/>
  <c r="C358" i="158"/>
  <c r="E363" i="158"/>
  <c r="F368" i="158"/>
  <c r="D368" i="158"/>
  <c r="I322" i="158"/>
  <c r="G322" i="158"/>
  <c r="E322" i="158"/>
  <c r="I327" i="158"/>
  <c r="G327" i="158"/>
  <c r="H535" i="158"/>
  <c r="D510" i="158"/>
  <c r="C529" i="158"/>
  <c r="D545" i="158"/>
  <c r="E445" i="158"/>
  <c r="C445" i="158"/>
  <c r="E450" i="158"/>
  <c r="H455" i="158"/>
  <c r="G455" i="158"/>
  <c r="C455" i="158"/>
  <c r="D430" i="158"/>
  <c r="C394" i="158"/>
  <c r="F358" i="158"/>
  <c r="D358" i="158"/>
  <c r="G368" i="158"/>
  <c r="E368" i="158"/>
  <c r="C368" i="158"/>
  <c r="C332" i="158"/>
  <c r="H322" i="158"/>
  <c r="F322" i="158"/>
  <c r="D322" i="158"/>
  <c r="H327" i="158"/>
  <c r="H285" i="158"/>
  <c r="H545" i="158"/>
  <c r="G520" i="158"/>
  <c r="G540" i="158"/>
  <c r="E415" i="158"/>
  <c r="F327" i="158"/>
  <c r="C291" i="158"/>
  <c r="C296" i="158"/>
  <c r="C301" i="158"/>
  <c r="J301" i="158" s="1"/>
  <c r="C306" i="158"/>
  <c r="M66" i="100"/>
  <c r="G28" i="100"/>
  <c r="I78" i="100"/>
  <c r="J53" i="100"/>
  <c r="L53" i="100"/>
  <c r="N28" i="100"/>
  <c r="R28" i="100"/>
  <c r="H53" i="100"/>
  <c r="L28" i="100"/>
  <c r="O53" i="100"/>
  <c r="O76" i="100"/>
  <c r="O71" i="100"/>
  <c r="O66" i="100"/>
  <c r="M61" i="100"/>
  <c r="D66" i="100"/>
  <c r="G53" i="100"/>
  <c r="G76" i="100"/>
  <c r="H61" i="100"/>
  <c r="K76" i="100"/>
  <c r="K78" i="100" s="1"/>
  <c r="N76" i="100"/>
  <c r="P53" i="100"/>
  <c r="P76" i="100"/>
  <c r="P71" i="100"/>
  <c r="P66" i="100"/>
  <c r="P61" i="100"/>
  <c r="R53" i="100"/>
  <c r="R76" i="100"/>
  <c r="R71" i="100"/>
  <c r="R66" i="100"/>
  <c r="R61" i="100"/>
  <c r="S76" i="100"/>
  <c r="S76" i="157" s="1"/>
  <c r="S71" i="100"/>
  <c r="S71" i="157" s="1"/>
  <c r="S66" i="100"/>
  <c r="S66" i="157" s="1"/>
  <c r="S61" i="100"/>
  <c r="S61" i="157" s="1"/>
  <c r="J147" i="99"/>
  <c r="P24" i="155"/>
  <c r="V24" i="155" s="1"/>
  <c r="V13" i="155"/>
  <c r="V18" i="155"/>
  <c r="Q11" i="155"/>
  <c r="P23" i="155"/>
  <c r="Q23" i="155" s="1"/>
  <c r="G384" i="158"/>
  <c r="F75" i="153"/>
  <c r="D51" i="97"/>
  <c r="F27" i="153"/>
  <c r="C27" i="153"/>
  <c r="I27" i="153" s="1"/>
  <c r="K26" i="153"/>
  <c r="K21" i="153"/>
  <c r="K16" i="153"/>
  <c r="E59" i="153"/>
  <c r="C27" i="154"/>
  <c r="K27" i="154" s="1"/>
  <c r="H28" i="100"/>
  <c r="I537" i="101"/>
  <c r="I531" i="101" s="1"/>
  <c r="I517" i="101"/>
  <c r="E499" i="158"/>
  <c r="J28" i="100"/>
  <c r="J76" i="157"/>
  <c r="C74" i="157"/>
  <c r="C64" i="157"/>
  <c r="E410" i="101"/>
  <c r="H400" i="101"/>
  <c r="H369" i="101"/>
  <c r="N53" i="100"/>
  <c r="Q28" i="100"/>
  <c r="J261" i="101"/>
  <c r="J271" i="101"/>
  <c r="J269" i="158" s="1"/>
  <c r="C224" i="101"/>
  <c r="E224" i="101"/>
  <c r="G224" i="101"/>
  <c r="I224" i="101"/>
  <c r="J245" i="101"/>
  <c r="J243" i="158" s="1"/>
  <c r="J214" i="101"/>
  <c r="J212" i="158" s="1"/>
  <c r="T13" i="120"/>
  <c r="C27" i="97"/>
  <c r="G27" i="97" s="1"/>
  <c r="J27" i="97"/>
  <c r="C51" i="97"/>
  <c r="I51" i="97" s="1"/>
  <c r="K50" i="97"/>
  <c r="K45" i="97"/>
  <c r="D27" i="153"/>
  <c r="E27" i="153" s="1"/>
  <c r="J11" i="153"/>
  <c r="C75" i="153"/>
  <c r="K75" i="153" s="1"/>
  <c r="I53" i="100"/>
  <c r="E66" i="157"/>
  <c r="E76" i="157"/>
  <c r="D480" i="158"/>
  <c r="F485" i="158"/>
  <c r="D490" i="158"/>
  <c r="F490" i="158"/>
  <c r="F469" i="158" s="1"/>
  <c r="C28" i="100"/>
  <c r="K53" i="100"/>
  <c r="C69" i="157"/>
  <c r="C59" i="157"/>
  <c r="I457" i="101"/>
  <c r="I441" i="101" s="1"/>
  <c r="I425" i="101"/>
  <c r="I424" i="158" s="1"/>
  <c r="I428" i="101"/>
  <c r="I427" i="158" s="1"/>
  <c r="H390" i="101"/>
  <c r="H395" i="101"/>
  <c r="M78" i="102"/>
  <c r="M41" i="159"/>
  <c r="H354" i="101"/>
  <c r="H364" i="101"/>
  <c r="P28" i="100"/>
  <c r="J294" i="158"/>
  <c r="J307" i="101"/>
  <c r="J305" i="158" s="1"/>
  <c r="Q76" i="100"/>
  <c r="Q71" i="100"/>
  <c r="Q66" i="100"/>
  <c r="J266" i="101"/>
  <c r="J264" i="158" s="1"/>
  <c r="J276" i="101"/>
  <c r="J274" i="158" s="1"/>
  <c r="J235" i="101"/>
  <c r="J240" i="101"/>
  <c r="J238" i="158" s="1"/>
  <c r="S28" i="100"/>
  <c r="J204" i="101"/>
  <c r="J209" i="101"/>
  <c r="J207" i="158" s="1"/>
  <c r="K36" i="159"/>
  <c r="J53" i="102"/>
  <c r="M71" i="159"/>
  <c r="C28" i="102"/>
  <c r="J66" i="102"/>
  <c r="E78" i="102"/>
  <c r="M46" i="159"/>
  <c r="N46" i="159"/>
  <c r="F71" i="159"/>
  <c r="J41" i="159"/>
  <c r="E420" i="158"/>
  <c r="D420" i="158"/>
  <c r="O46" i="157"/>
  <c r="O36" i="157"/>
  <c r="M21" i="157"/>
  <c r="O51" i="157"/>
  <c r="O41" i="157"/>
  <c r="Q16" i="157"/>
  <c r="D11" i="157"/>
  <c r="G36" i="157"/>
  <c r="J71" i="157"/>
  <c r="N11" i="157"/>
  <c r="N16" i="157"/>
  <c r="N51" i="157"/>
  <c r="P26" i="157"/>
  <c r="G11" i="157"/>
  <c r="F16" i="157"/>
  <c r="H11" i="157"/>
  <c r="H28" i="157" s="1"/>
  <c r="I36" i="157"/>
  <c r="E41" i="157"/>
  <c r="F41" i="157"/>
  <c r="I41" i="157"/>
  <c r="F51" i="157"/>
  <c r="K21" i="157"/>
  <c r="K36" i="157"/>
  <c r="Q11" i="157"/>
  <c r="I11" i="157"/>
  <c r="I28" i="157" s="1"/>
  <c r="G16" i="157"/>
  <c r="F46" i="157"/>
  <c r="G51" i="157"/>
  <c r="K71" i="157"/>
  <c r="N76" i="157"/>
  <c r="J66" i="157"/>
  <c r="L61" i="157"/>
  <c r="L76" i="157"/>
  <c r="L41" i="157"/>
  <c r="M41" i="157"/>
  <c r="F150" i="99"/>
  <c r="J150" i="99" s="1"/>
  <c r="I61" i="159"/>
  <c r="G66" i="159"/>
  <c r="I66" i="159"/>
  <c r="L76" i="159"/>
  <c r="H53" i="102"/>
  <c r="I78" i="102"/>
  <c r="I28" i="102"/>
  <c r="L53" i="102"/>
  <c r="N76" i="159"/>
  <c r="N66" i="159"/>
  <c r="P51" i="159"/>
  <c r="S76" i="159"/>
  <c r="S66" i="159"/>
  <c r="C76" i="159"/>
  <c r="C66" i="159"/>
  <c r="F78" i="102"/>
  <c r="F28" i="102"/>
  <c r="G28" i="102"/>
  <c r="G78" i="102"/>
  <c r="E61" i="159"/>
  <c r="C78" i="102"/>
  <c r="J68" i="159"/>
  <c r="J71" i="159" s="1"/>
  <c r="J71" i="102"/>
  <c r="L78" i="102"/>
  <c r="M53" i="102"/>
  <c r="N71" i="159"/>
  <c r="O53" i="102"/>
  <c r="P61" i="159"/>
  <c r="R51" i="159"/>
  <c r="D78" i="102"/>
  <c r="G53" i="102"/>
  <c r="H78" i="102"/>
  <c r="I51" i="159"/>
  <c r="I53" i="159" s="1"/>
  <c r="F51" i="159"/>
  <c r="F53" i="159" s="1"/>
  <c r="G51" i="159"/>
  <c r="G53" i="159" s="1"/>
  <c r="D61" i="159"/>
  <c r="G61" i="159"/>
  <c r="F61" i="159"/>
  <c r="D66" i="159"/>
  <c r="E66" i="159"/>
  <c r="G71" i="159"/>
  <c r="J51" i="159"/>
  <c r="J46" i="159"/>
  <c r="J76" i="159"/>
  <c r="J61" i="159"/>
  <c r="K71" i="159"/>
  <c r="L61" i="159"/>
  <c r="L66" i="159"/>
  <c r="L71" i="159"/>
  <c r="M76" i="159"/>
  <c r="M61" i="159"/>
  <c r="M51" i="159"/>
  <c r="M36" i="159"/>
  <c r="N36" i="159"/>
  <c r="N61" i="159"/>
  <c r="O28" i="102"/>
  <c r="S28" i="102"/>
  <c r="S78" i="102"/>
  <c r="S71" i="159"/>
  <c r="S61" i="159"/>
  <c r="C71" i="159"/>
  <c r="C61" i="159"/>
  <c r="J66" i="159"/>
  <c r="K46" i="159"/>
  <c r="N51" i="159"/>
  <c r="D51" i="159"/>
  <c r="H51" i="159"/>
  <c r="H53" i="159" s="1"/>
  <c r="K66" i="159"/>
  <c r="K61" i="159"/>
  <c r="R46" i="159"/>
  <c r="D53" i="102"/>
  <c r="H28" i="102"/>
  <c r="L28" i="102"/>
  <c r="L51" i="159"/>
  <c r="L41" i="159"/>
  <c r="N78" i="102"/>
  <c r="O46" i="159"/>
  <c r="O36" i="159"/>
  <c r="O71" i="159"/>
  <c r="O61" i="159"/>
  <c r="P46" i="159"/>
  <c r="P36" i="159"/>
  <c r="P71" i="159"/>
  <c r="Q76" i="159"/>
  <c r="Q66" i="159"/>
  <c r="C46" i="159"/>
  <c r="C36" i="159"/>
  <c r="K76" i="102"/>
  <c r="J76" i="102"/>
  <c r="K61" i="102"/>
  <c r="J61" i="102"/>
  <c r="E28" i="102"/>
  <c r="D28" i="102"/>
  <c r="F53" i="102"/>
  <c r="I53" i="102"/>
  <c r="E51" i="159"/>
  <c r="E53" i="159" s="1"/>
  <c r="H61" i="159"/>
  <c r="H78" i="159" s="1"/>
  <c r="E71" i="159"/>
  <c r="J28" i="102"/>
  <c r="K66" i="102"/>
  <c r="L46" i="159"/>
  <c r="L36" i="159"/>
  <c r="O51" i="159"/>
  <c r="O41" i="159"/>
  <c r="O76" i="159"/>
  <c r="O66" i="159"/>
  <c r="P28" i="102"/>
  <c r="P53" i="102"/>
  <c r="P76" i="159"/>
  <c r="Q28" i="102"/>
  <c r="Q53" i="102"/>
  <c r="Q71" i="159"/>
  <c r="Q61" i="159"/>
  <c r="R36" i="159"/>
  <c r="C51" i="159"/>
  <c r="C41" i="159"/>
  <c r="K28" i="102"/>
  <c r="K51" i="159"/>
  <c r="K41" i="159"/>
  <c r="M28" i="102"/>
  <c r="N53" i="102"/>
  <c r="O78" i="102"/>
  <c r="P41" i="159"/>
  <c r="P66" i="159"/>
  <c r="R41" i="159"/>
  <c r="S53" i="102"/>
  <c r="Q46" i="159"/>
  <c r="Q36" i="159"/>
  <c r="R76" i="159"/>
  <c r="R66" i="159"/>
  <c r="S46" i="159"/>
  <c r="S36" i="159"/>
  <c r="D46" i="159"/>
  <c r="K76" i="159"/>
  <c r="Q51" i="159"/>
  <c r="Q41" i="159"/>
  <c r="R71" i="159"/>
  <c r="R61" i="159"/>
  <c r="S51" i="159"/>
  <c r="S41" i="159"/>
  <c r="E439" i="158"/>
  <c r="E430" i="158"/>
  <c r="G285" i="158"/>
  <c r="D415" i="158"/>
  <c r="C425" i="158"/>
  <c r="F425" i="158"/>
  <c r="J296" i="158"/>
  <c r="E469" i="158"/>
  <c r="H510" i="158"/>
  <c r="I510" i="158" s="1"/>
  <c r="D460" i="158"/>
  <c r="I460" i="158" s="1"/>
  <c r="E425" i="158"/>
  <c r="I260" i="158"/>
  <c r="G260" i="158"/>
  <c r="E260" i="158"/>
  <c r="C260" i="158"/>
  <c r="H265" i="158"/>
  <c r="F265" i="158"/>
  <c r="D265" i="158"/>
  <c r="I270" i="158"/>
  <c r="G270" i="158"/>
  <c r="E270" i="158"/>
  <c r="C270" i="158"/>
  <c r="H275" i="158"/>
  <c r="F275" i="158"/>
  <c r="D275" i="158"/>
  <c r="C485" i="158"/>
  <c r="G415" i="158"/>
  <c r="G420" i="158"/>
  <c r="E327" i="158"/>
  <c r="E316" i="158" s="1"/>
  <c r="E285" i="158"/>
  <c r="H260" i="158"/>
  <c r="F260" i="158"/>
  <c r="D260" i="158"/>
  <c r="I265" i="158"/>
  <c r="G265" i="158"/>
  <c r="E265" i="158"/>
  <c r="C265" i="158"/>
  <c r="H270" i="158"/>
  <c r="F270" i="158"/>
  <c r="D270" i="158"/>
  <c r="I275" i="158"/>
  <c r="G275" i="158"/>
  <c r="E275" i="158"/>
  <c r="C275" i="158"/>
  <c r="D327" i="158"/>
  <c r="D316" i="158" s="1"/>
  <c r="H229" i="158"/>
  <c r="F229" i="158"/>
  <c r="D229" i="158"/>
  <c r="I234" i="158"/>
  <c r="G234" i="158"/>
  <c r="E234" i="158"/>
  <c r="C234" i="158"/>
  <c r="H239" i="158"/>
  <c r="F239" i="158"/>
  <c r="D239" i="158"/>
  <c r="I244" i="158"/>
  <c r="G244" i="158"/>
  <c r="E244" i="158"/>
  <c r="C244" i="158"/>
  <c r="H198" i="158"/>
  <c r="F198" i="158"/>
  <c r="D198" i="158"/>
  <c r="D192" i="158" s="1"/>
  <c r="I203" i="158"/>
  <c r="G203" i="158"/>
  <c r="E203" i="158"/>
  <c r="C203" i="158"/>
  <c r="H208" i="158"/>
  <c r="F208" i="158"/>
  <c r="D208" i="158"/>
  <c r="I213" i="158"/>
  <c r="G213" i="158"/>
  <c r="E213" i="158"/>
  <c r="C213" i="158"/>
  <c r="I229" i="158"/>
  <c r="G229" i="158"/>
  <c r="E229" i="158"/>
  <c r="C229" i="158"/>
  <c r="H234" i="158"/>
  <c r="F234" i="158"/>
  <c r="D234" i="158"/>
  <c r="I239" i="158"/>
  <c r="G239" i="158"/>
  <c r="E239" i="158"/>
  <c r="C239" i="158"/>
  <c r="H244" i="158"/>
  <c r="F244" i="158"/>
  <c r="D244" i="158"/>
  <c r="I198" i="158"/>
  <c r="G198" i="158"/>
  <c r="E198" i="158"/>
  <c r="C198" i="158"/>
  <c r="H203" i="158"/>
  <c r="F203" i="158"/>
  <c r="D203" i="158"/>
  <c r="I208" i="158"/>
  <c r="G208" i="158"/>
  <c r="E208" i="158"/>
  <c r="C208" i="158"/>
  <c r="H213" i="158"/>
  <c r="F213" i="158"/>
  <c r="D213" i="158"/>
  <c r="J21" i="157"/>
  <c r="J11" i="157"/>
  <c r="J46" i="157"/>
  <c r="J36" i="157"/>
  <c r="K51" i="157"/>
  <c r="L66" i="157"/>
  <c r="L71" i="157"/>
  <c r="C51" i="157"/>
  <c r="C41" i="157"/>
  <c r="M51" i="157"/>
  <c r="D41" i="157"/>
  <c r="G41" i="157"/>
  <c r="E51" i="157"/>
  <c r="J26" i="157"/>
  <c r="J16" i="157"/>
  <c r="J51" i="157"/>
  <c r="J41" i="157"/>
  <c r="N46" i="157"/>
  <c r="N61" i="157"/>
  <c r="C46" i="157"/>
  <c r="C36" i="157"/>
  <c r="E11" i="157"/>
  <c r="D21" i="157"/>
  <c r="E26" i="157"/>
  <c r="F26" i="157"/>
  <c r="E36" i="157"/>
  <c r="D36" i="157"/>
  <c r="F36" i="157"/>
  <c r="D46" i="157"/>
  <c r="I46" i="157"/>
  <c r="E46" i="157"/>
  <c r="G46" i="157"/>
  <c r="H41" i="157"/>
  <c r="D51" i="157"/>
  <c r="D61" i="157"/>
  <c r="I78" i="157"/>
  <c r="F66" i="157"/>
  <c r="G66" i="157"/>
  <c r="H66" i="157"/>
  <c r="D71" i="157"/>
  <c r="H71" i="157"/>
  <c r="D76" i="157"/>
  <c r="F76" i="157"/>
  <c r="G76" i="157"/>
  <c r="J61" i="157"/>
  <c r="K26" i="157"/>
  <c r="K16" i="157"/>
  <c r="K46" i="157"/>
  <c r="K41" i="157"/>
  <c r="K76" i="157"/>
  <c r="K66" i="157"/>
  <c r="L11" i="157"/>
  <c r="L51" i="157"/>
  <c r="L36" i="157"/>
  <c r="M16" i="157"/>
  <c r="M26" i="157"/>
  <c r="M46" i="157"/>
  <c r="N26" i="157"/>
  <c r="K11" i="157"/>
  <c r="L46" i="157"/>
  <c r="L21" i="157"/>
  <c r="N21" i="157"/>
  <c r="N41" i="157"/>
  <c r="P51" i="157"/>
  <c r="P41" i="157"/>
  <c r="Q26" i="157"/>
  <c r="Q46" i="157"/>
  <c r="Q36" i="157"/>
  <c r="R21" i="157"/>
  <c r="R11" i="157"/>
  <c r="R46" i="157"/>
  <c r="R36" i="157"/>
  <c r="F11" i="157"/>
  <c r="H46" i="157"/>
  <c r="L26" i="157"/>
  <c r="L16" i="157"/>
  <c r="N66" i="157"/>
  <c r="N71" i="157"/>
  <c r="P21" i="157"/>
  <c r="P11" i="157"/>
  <c r="P46" i="157"/>
  <c r="P36" i="157"/>
  <c r="Q51" i="157"/>
  <c r="R51" i="157"/>
  <c r="R41" i="157"/>
  <c r="C26" i="157"/>
  <c r="C16" i="157"/>
  <c r="M61" i="157"/>
  <c r="E16" i="157"/>
  <c r="D26" i="157"/>
  <c r="H36" i="157"/>
  <c r="E71" i="157"/>
  <c r="N36" i="157"/>
  <c r="O16" i="157"/>
  <c r="O26" i="157"/>
  <c r="P16" i="157"/>
  <c r="Q21" i="157"/>
  <c r="Q41" i="157"/>
  <c r="R26" i="157"/>
  <c r="R16" i="157"/>
  <c r="C21" i="157"/>
  <c r="C11" i="157"/>
  <c r="G14" i="156"/>
  <c r="G17" i="156"/>
  <c r="G147" i="156"/>
  <c r="I149" i="156"/>
  <c r="J19" i="156"/>
  <c r="D24" i="156"/>
  <c r="J142" i="99"/>
  <c r="J144" i="99"/>
  <c r="J14" i="156"/>
  <c r="H14" i="156"/>
  <c r="D14" i="156"/>
  <c r="J12" i="156"/>
  <c r="C10" i="156"/>
  <c r="D15" i="156"/>
  <c r="J198" i="156"/>
  <c r="J248" i="156"/>
  <c r="C147" i="156"/>
  <c r="J20" i="156"/>
  <c r="H20" i="156"/>
  <c r="H149" i="156"/>
  <c r="I148" i="156"/>
  <c r="H144" i="156"/>
  <c r="H13" i="156"/>
  <c r="J191" i="156"/>
  <c r="J21" i="156"/>
  <c r="C143" i="156"/>
  <c r="J169" i="156"/>
  <c r="G11" i="156"/>
  <c r="D139" i="156"/>
  <c r="H145" i="156"/>
  <c r="J247" i="156"/>
  <c r="G146" i="156"/>
  <c r="C146" i="156"/>
  <c r="H17" i="156"/>
  <c r="G18" i="156"/>
  <c r="G148" i="156"/>
  <c r="C148" i="156"/>
  <c r="J228" i="156"/>
  <c r="J220" i="156"/>
  <c r="J242" i="156"/>
  <c r="I15" i="156"/>
  <c r="H15" i="156"/>
  <c r="C144" i="156"/>
  <c r="C145" i="156"/>
  <c r="I16" i="156"/>
  <c r="C142" i="156"/>
  <c r="I13" i="156"/>
  <c r="J201" i="156"/>
  <c r="J175" i="156"/>
  <c r="H148" i="156"/>
  <c r="C152" i="156"/>
  <c r="H152" i="156"/>
  <c r="G12" i="156"/>
  <c r="J241" i="156"/>
  <c r="I144" i="156"/>
  <c r="F144" i="156"/>
  <c r="J16" i="156"/>
  <c r="I152" i="156"/>
  <c r="G152" i="156"/>
  <c r="D11" i="156"/>
  <c r="J167" i="156"/>
  <c r="D12" i="156"/>
  <c r="J173" i="156"/>
  <c r="J219" i="99"/>
  <c r="J173" i="99"/>
  <c r="J174" i="99"/>
  <c r="D43" i="156"/>
  <c r="D16" i="156" s="1"/>
  <c r="J218" i="99"/>
  <c r="D11" i="99"/>
  <c r="J141" i="99" s="1"/>
  <c r="D13" i="99"/>
  <c r="J143" i="99" s="1"/>
  <c r="J145" i="99"/>
  <c r="J170" i="99"/>
  <c r="G141" i="156"/>
  <c r="G139" i="156"/>
  <c r="H10" i="156"/>
  <c r="C140" i="156"/>
  <c r="I11" i="156"/>
  <c r="D13" i="156"/>
  <c r="C141" i="156"/>
  <c r="J219" i="156"/>
  <c r="J246" i="156"/>
  <c r="G145" i="156"/>
  <c r="G16" i="156"/>
  <c r="J227" i="99"/>
  <c r="F226" i="156"/>
  <c r="J226" i="156" s="1"/>
  <c r="J179" i="99"/>
  <c r="J229" i="99"/>
  <c r="J230" i="99"/>
  <c r="J180" i="156"/>
  <c r="J230" i="156"/>
  <c r="J9" i="156"/>
  <c r="F146" i="99"/>
  <c r="J146" i="99" s="1"/>
  <c r="J224" i="156"/>
  <c r="I147" i="156"/>
  <c r="J174" i="156"/>
  <c r="I20" i="156"/>
  <c r="G149" i="156"/>
  <c r="C149" i="156"/>
  <c r="F148" i="156"/>
  <c r="H19" i="156"/>
  <c r="F153" i="99"/>
  <c r="J153" i="99" s="1"/>
  <c r="D22" i="156"/>
  <c r="G153" i="156"/>
  <c r="I154" i="156"/>
  <c r="J231" i="156"/>
  <c r="J216" i="156"/>
  <c r="J217" i="156"/>
  <c r="J245" i="156"/>
  <c r="J15" i="156"/>
  <c r="J196" i="156"/>
  <c r="J223" i="156"/>
  <c r="G142" i="156"/>
  <c r="J17" i="156"/>
  <c r="H146" i="156"/>
  <c r="J148" i="99"/>
  <c r="J249" i="156"/>
  <c r="D18" i="156"/>
  <c r="J149" i="99"/>
  <c r="F151" i="99"/>
  <c r="J151" i="99" s="1"/>
  <c r="I150" i="156"/>
  <c r="J225" i="156"/>
  <c r="J22" i="156"/>
  <c r="J165" i="156"/>
  <c r="I14" i="156"/>
  <c r="C139" i="156"/>
  <c r="I17" i="156"/>
  <c r="J199" i="156"/>
  <c r="J197" i="156"/>
  <c r="D141" i="156"/>
  <c r="H12" i="156"/>
  <c r="F140" i="156"/>
  <c r="J194" i="156"/>
  <c r="I18" i="156"/>
  <c r="G143" i="156"/>
  <c r="J11" i="156"/>
  <c r="H11" i="156"/>
  <c r="C11" i="156"/>
  <c r="F139" i="156"/>
  <c r="J10" i="156"/>
  <c r="F10" i="156"/>
  <c r="J166" i="156"/>
  <c r="J195" i="156"/>
  <c r="I146" i="156"/>
  <c r="D20" i="156"/>
  <c r="J176" i="156"/>
  <c r="J251" i="156"/>
  <c r="J202" i="156"/>
  <c r="J252" i="156"/>
  <c r="C150" i="156"/>
  <c r="J204" i="156"/>
  <c r="I151" i="156"/>
  <c r="G151" i="156"/>
  <c r="I24" i="156"/>
  <c r="G24" i="156"/>
  <c r="G138" i="156"/>
  <c r="D138" i="156"/>
  <c r="J215" i="156"/>
  <c r="C154" i="156"/>
  <c r="I25" i="156"/>
  <c r="J181" i="156"/>
  <c r="D25" i="156"/>
  <c r="J192" i="156"/>
  <c r="J193" i="156"/>
  <c r="J168" i="156"/>
  <c r="J218" i="156"/>
  <c r="J243" i="156"/>
  <c r="J221" i="156"/>
  <c r="J171" i="156"/>
  <c r="G15" i="156"/>
  <c r="G144" i="156"/>
  <c r="I145" i="156"/>
  <c r="H16" i="156"/>
  <c r="J222" i="156"/>
  <c r="F145" i="156"/>
  <c r="F142" i="156"/>
  <c r="J13" i="156"/>
  <c r="J244" i="156"/>
  <c r="G13" i="156"/>
  <c r="F146" i="156"/>
  <c r="J18" i="156"/>
  <c r="F147" i="156"/>
  <c r="D21" i="156"/>
  <c r="D19" i="156"/>
  <c r="H22" i="156"/>
  <c r="J139" i="99"/>
  <c r="I153" i="156"/>
  <c r="F9" i="156"/>
  <c r="J240" i="156"/>
  <c r="C9" i="156"/>
  <c r="J190" i="156"/>
  <c r="E25" i="156"/>
  <c r="J140" i="99"/>
  <c r="H143" i="156"/>
  <c r="F143" i="156"/>
  <c r="G140" i="156"/>
  <c r="D140" i="156"/>
  <c r="I10" i="156"/>
  <c r="G10" i="156"/>
  <c r="D10" i="156"/>
  <c r="G20" i="156"/>
  <c r="I19" i="156"/>
  <c r="J203" i="156"/>
  <c r="H21" i="156"/>
  <c r="G21" i="156"/>
  <c r="G150" i="156"/>
  <c r="J253" i="156"/>
  <c r="J229" i="156"/>
  <c r="D23" i="156"/>
  <c r="H23" i="156"/>
  <c r="E23" i="156"/>
  <c r="J205" i="156"/>
  <c r="C153" i="156"/>
  <c r="J155" i="99"/>
  <c r="H9" i="156"/>
  <c r="G154" i="156"/>
  <c r="H25" i="156"/>
  <c r="I12" i="156"/>
  <c r="D142" i="156"/>
  <c r="G19" i="156"/>
  <c r="H150" i="156"/>
  <c r="J23" i="156"/>
  <c r="I22" i="156"/>
  <c r="H151" i="156"/>
  <c r="H153" i="156"/>
  <c r="J24" i="156"/>
  <c r="E24" i="156"/>
  <c r="F138" i="156"/>
  <c r="I9" i="156"/>
  <c r="D9" i="156"/>
  <c r="H154" i="156"/>
  <c r="J25" i="156"/>
  <c r="F141" i="156"/>
  <c r="H147" i="156"/>
  <c r="H18" i="156"/>
  <c r="J200" i="156"/>
  <c r="I21" i="156"/>
  <c r="G23" i="156"/>
  <c r="I23" i="156"/>
  <c r="G22" i="156"/>
  <c r="C151" i="156"/>
  <c r="H24" i="156"/>
  <c r="H142" i="156"/>
  <c r="I143" i="156"/>
  <c r="C138" i="156"/>
  <c r="G9" i="156"/>
  <c r="F154" i="156"/>
  <c r="G25" i="156"/>
  <c r="J43" i="98"/>
  <c r="J55" i="98" s="1"/>
  <c r="H409" i="158"/>
  <c r="I27" i="97"/>
  <c r="I490" i="158"/>
  <c r="I445" i="158"/>
  <c r="K27" i="97"/>
  <c r="K40" i="97"/>
  <c r="J51" i="97"/>
  <c r="K51" i="97" s="1"/>
  <c r="I21" i="97"/>
  <c r="I507" i="101"/>
  <c r="I501" i="101" s="1"/>
  <c r="J170" i="156"/>
  <c r="C70" i="157"/>
  <c r="C68" i="157"/>
  <c r="C60" i="157"/>
  <c r="C58" i="157"/>
  <c r="J250" i="156"/>
  <c r="O58" i="157"/>
  <c r="O61" i="157" s="1"/>
  <c r="O61" i="100"/>
  <c r="O21" i="157"/>
  <c r="C327" i="158"/>
  <c r="F151" i="156"/>
  <c r="J178" i="156"/>
  <c r="J295" i="158"/>
  <c r="J286" i="101"/>
  <c r="Q61" i="157"/>
  <c r="J255" i="101"/>
  <c r="J259" i="158"/>
  <c r="C53" i="100"/>
  <c r="C75" i="157"/>
  <c r="C73" i="157"/>
  <c r="C65" i="157"/>
  <c r="C63" i="157"/>
  <c r="O76" i="157"/>
  <c r="O71" i="157"/>
  <c r="O66" i="157"/>
  <c r="J334" i="158"/>
  <c r="P76" i="157"/>
  <c r="P71" i="157"/>
  <c r="P66" i="157"/>
  <c r="P61" i="157"/>
  <c r="Q76" i="157"/>
  <c r="Q71" i="157"/>
  <c r="Q66" i="157"/>
  <c r="O8" i="157"/>
  <c r="O11" i="157" s="1"/>
  <c r="J322" i="101"/>
  <c r="J321" i="158" s="1"/>
  <c r="J325" i="101"/>
  <c r="J327" i="101"/>
  <c r="J326" i="158" s="1"/>
  <c r="J329" i="158"/>
  <c r="J337" i="101"/>
  <c r="J336" i="158" s="1"/>
  <c r="J320" i="101"/>
  <c r="C320" i="158"/>
  <c r="C322" i="158" s="1"/>
  <c r="C334" i="158"/>
  <c r="C337" i="158" s="1"/>
  <c r="J337" i="158" s="1"/>
  <c r="F227" i="156"/>
  <c r="J227" i="156" s="1"/>
  <c r="F177" i="156"/>
  <c r="J254" i="99"/>
  <c r="J205" i="99"/>
  <c r="J180" i="99"/>
  <c r="F255" i="156"/>
  <c r="F153" i="156" s="1"/>
  <c r="J256" i="99"/>
  <c r="J206" i="99"/>
  <c r="F154" i="99"/>
  <c r="J154" i="99" s="1"/>
  <c r="S53" i="157"/>
  <c r="J326" i="101"/>
  <c r="J325" i="158" s="1"/>
  <c r="J336" i="101"/>
  <c r="J335" i="158" s="1"/>
  <c r="J332" i="101"/>
  <c r="J331" i="158" s="1"/>
  <c r="J203" i="99"/>
  <c r="J253" i="99"/>
  <c r="F152" i="99"/>
  <c r="J152" i="99" s="1"/>
  <c r="F179" i="156"/>
  <c r="Q61" i="100"/>
  <c r="F254" i="156"/>
  <c r="J255" i="99"/>
  <c r="J181" i="99"/>
  <c r="J231" i="99"/>
  <c r="R76" i="157"/>
  <c r="R71" i="157"/>
  <c r="R66" i="157"/>
  <c r="R61" i="157"/>
  <c r="J224" i="101"/>
  <c r="J233" i="158"/>
  <c r="J206" i="156"/>
  <c r="S21" i="157"/>
  <c r="S53" i="100"/>
  <c r="J193" i="101"/>
  <c r="J202" i="158"/>
  <c r="F78" i="159" l="1"/>
  <c r="J332" i="158"/>
  <c r="H384" i="158"/>
  <c r="G499" i="158"/>
  <c r="G439" i="158"/>
  <c r="H363" i="158"/>
  <c r="J198" i="158"/>
  <c r="D223" i="158"/>
  <c r="J306" i="158"/>
  <c r="F316" i="158"/>
  <c r="H439" i="158"/>
  <c r="I545" i="158"/>
  <c r="H499" i="158"/>
  <c r="G469" i="158"/>
  <c r="I550" i="158"/>
  <c r="H389" i="158"/>
  <c r="F529" i="158"/>
  <c r="I535" i="158"/>
  <c r="F439" i="158"/>
  <c r="J291" i="158"/>
  <c r="I450" i="158"/>
  <c r="J239" i="158"/>
  <c r="J229" i="158"/>
  <c r="C409" i="158"/>
  <c r="C285" i="158"/>
  <c r="D78" i="100"/>
  <c r="J213" i="158"/>
  <c r="H192" i="158"/>
  <c r="J244" i="158"/>
  <c r="H223" i="158"/>
  <c r="I420" i="158"/>
  <c r="D499" i="158"/>
  <c r="H469" i="158"/>
  <c r="I475" i="158"/>
  <c r="D529" i="158"/>
  <c r="H399" i="158"/>
  <c r="C499" i="158"/>
  <c r="C192" i="158"/>
  <c r="J327" i="158"/>
  <c r="I505" i="158"/>
  <c r="C469" i="158"/>
  <c r="D378" i="158"/>
  <c r="F409" i="158"/>
  <c r="D409" i="158"/>
  <c r="I430" i="158"/>
  <c r="I520" i="158"/>
  <c r="I540" i="158"/>
  <c r="I529" i="158" s="1"/>
  <c r="D347" i="158"/>
  <c r="C378" i="158"/>
  <c r="H53" i="157"/>
  <c r="M71" i="157"/>
  <c r="N53" i="157"/>
  <c r="H78" i="100"/>
  <c r="M76" i="100"/>
  <c r="O28" i="100"/>
  <c r="E78" i="100"/>
  <c r="M71" i="100"/>
  <c r="N78" i="100"/>
  <c r="O78" i="100"/>
  <c r="C78" i="100"/>
  <c r="R78" i="100"/>
  <c r="S78" i="100"/>
  <c r="Q78" i="100"/>
  <c r="G78" i="100"/>
  <c r="J78" i="100"/>
  <c r="S78" i="157"/>
  <c r="I416" i="101"/>
  <c r="I410" i="101" s="1"/>
  <c r="H410" i="101"/>
  <c r="H379" i="101"/>
  <c r="G27" i="153"/>
  <c r="V23" i="155"/>
  <c r="Q24" i="155"/>
  <c r="I455" i="158"/>
  <c r="I439" i="158" s="1"/>
  <c r="G378" i="158"/>
  <c r="H529" i="158"/>
  <c r="C223" i="158"/>
  <c r="J208" i="158"/>
  <c r="J203" i="158"/>
  <c r="F192" i="158"/>
  <c r="J234" i="158"/>
  <c r="J223" i="158" s="1"/>
  <c r="F223" i="158"/>
  <c r="C439" i="158"/>
  <c r="I316" i="158"/>
  <c r="G347" i="158"/>
  <c r="I515" i="158"/>
  <c r="H358" i="158"/>
  <c r="C347" i="158"/>
  <c r="H394" i="158"/>
  <c r="H316" i="158"/>
  <c r="H368" i="158"/>
  <c r="F347" i="158"/>
  <c r="G529" i="158"/>
  <c r="G316" i="158"/>
  <c r="E347" i="158"/>
  <c r="E78" i="157"/>
  <c r="I53" i="157"/>
  <c r="F53" i="157"/>
  <c r="O53" i="157"/>
  <c r="P78" i="100"/>
  <c r="M78" i="100"/>
  <c r="K53" i="157"/>
  <c r="D53" i="157"/>
  <c r="G78" i="159"/>
  <c r="H348" i="101"/>
  <c r="D469" i="158"/>
  <c r="K11" i="153"/>
  <c r="J27" i="153"/>
  <c r="K27" i="153" s="1"/>
  <c r="E51" i="97"/>
  <c r="E27" i="97"/>
  <c r="I75" i="153"/>
  <c r="G75" i="153"/>
  <c r="G51" i="97"/>
  <c r="I480" i="158"/>
  <c r="E27" i="154"/>
  <c r="I27" i="154"/>
  <c r="G27" i="154"/>
  <c r="E75" i="153"/>
  <c r="J78" i="102"/>
  <c r="N78" i="159"/>
  <c r="J53" i="159"/>
  <c r="D78" i="159"/>
  <c r="D53" i="159"/>
  <c r="E192" i="158"/>
  <c r="I192" i="158"/>
  <c r="E223" i="158"/>
  <c r="D78" i="157"/>
  <c r="D28" i="157"/>
  <c r="P53" i="157"/>
  <c r="F28" i="157"/>
  <c r="R28" i="157"/>
  <c r="N28" i="157"/>
  <c r="J78" i="157"/>
  <c r="C28" i="157"/>
  <c r="Q28" i="157"/>
  <c r="E28" i="157"/>
  <c r="M28" i="157"/>
  <c r="L78" i="157"/>
  <c r="G28" i="157"/>
  <c r="C66" i="157"/>
  <c r="C76" i="157"/>
  <c r="M78" i="157"/>
  <c r="L28" i="157"/>
  <c r="L53" i="157"/>
  <c r="K78" i="157"/>
  <c r="F78" i="157"/>
  <c r="M53" i="157"/>
  <c r="C53" i="157"/>
  <c r="G53" i="157"/>
  <c r="J28" i="157"/>
  <c r="P28" i="157"/>
  <c r="G78" i="157"/>
  <c r="E53" i="157"/>
  <c r="I78" i="159"/>
  <c r="P53" i="159"/>
  <c r="C53" i="159"/>
  <c r="Q78" i="159"/>
  <c r="O53" i="159"/>
  <c r="E78" i="159"/>
  <c r="S78" i="159"/>
  <c r="N53" i="159"/>
  <c r="M53" i="159"/>
  <c r="M78" i="159"/>
  <c r="L78" i="159"/>
  <c r="C78" i="159"/>
  <c r="S53" i="159"/>
  <c r="K78" i="159"/>
  <c r="K78" i="102"/>
  <c r="J78" i="159"/>
  <c r="R78" i="159"/>
  <c r="Q53" i="159"/>
  <c r="P78" i="159"/>
  <c r="K53" i="159"/>
  <c r="R53" i="159"/>
  <c r="O78" i="159"/>
  <c r="L53" i="159"/>
  <c r="I223" i="158"/>
  <c r="G192" i="158"/>
  <c r="G223" i="158"/>
  <c r="D254" i="158"/>
  <c r="H254" i="158"/>
  <c r="I415" i="158"/>
  <c r="G409" i="158"/>
  <c r="J265" i="158"/>
  <c r="E254" i="158"/>
  <c r="J260" i="158"/>
  <c r="I254" i="158"/>
  <c r="I485" i="158"/>
  <c r="I469" i="158" s="1"/>
  <c r="J275" i="158"/>
  <c r="J270" i="158"/>
  <c r="F254" i="158"/>
  <c r="C254" i="158"/>
  <c r="G254" i="158"/>
  <c r="J285" i="158"/>
  <c r="I425" i="158"/>
  <c r="E409" i="158"/>
  <c r="D439" i="158"/>
  <c r="J53" i="157"/>
  <c r="R78" i="157"/>
  <c r="O28" i="157"/>
  <c r="P78" i="157"/>
  <c r="C61" i="157"/>
  <c r="C71" i="157"/>
  <c r="N78" i="157"/>
  <c r="K28" i="157"/>
  <c r="H78" i="157"/>
  <c r="R53" i="157"/>
  <c r="Q53" i="157"/>
  <c r="J172" i="156"/>
  <c r="J140" i="156"/>
  <c r="J153" i="156"/>
  <c r="J146" i="156"/>
  <c r="J154" i="156"/>
  <c r="F149" i="156"/>
  <c r="J149" i="156" s="1"/>
  <c r="J141" i="156"/>
  <c r="J151" i="156"/>
  <c r="J138" i="156"/>
  <c r="J148" i="156"/>
  <c r="J139" i="156"/>
  <c r="J144" i="156"/>
  <c r="J142" i="156"/>
  <c r="J145" i="156"/>
  <c r="J147" i="156"/>
  <c r="J143" i="156"/>
  <c r="J322" i="158"/>
  <c r="J316" i="158" s="1"/>
  <c r="C316" i="158"/>
  <c r="S28" i="157"/>
  <c r="Q78" i="157"/>
  <c r="O78" i="157"/>
  <c r="J192" i="158"/>
  <c r="J179" i="156"/>
  <c r="F152" i="156"/>
  <c r="J152" i="156" s="1"/>
  <c r="J177" i="156"/>
  <c r="F150" i="156"/>
  <c r="J150" i="156" s="1"/>
  <c r="J319" i="158"/>
  <c r="J323" i="101"/>
  <c r="J324" i="158"/>
  <c r="J328" i="101"/>
  <c r="J333" i="101"/>
  <c r="J338" i="101"/>
  <c r="H378" i="158" l="1"/>
  <c r="I499" i="158"/>
  <c r="H347" i="158"/>
  <c r="C78" i="157"/>
  <c r="J254" i="158"/>
  <c r="I409" i="158"/>
  <c r="J317" i="101"/>
  <c r="C138" i="158"/>
  <c r="C141" i="158" s="1"/>
  <c r="E142" i="101"/>
  <c r="E131" i="101"/>
  <c r="E138" i="158"/>
  <c r="E141" i="158" s="1"/>
  <c r="E130" i="158" s="1"/>
  <c r="D142" i="101"/>
  <c r="D131" i="101" s="1"/>
  <c r="D138" i="158"/>
  <c r="D141" i="158" s="1"/>
  <c r="D130" i="158" s="1"/>
  <c r="C142" i="101"/>
  <c r="C131" i="101" s="1"/>
  <c r="J139" i="101"/>
  <c r="J142" i="101" s="1"/>
  <c r="J131" i="101" s="1"/>
  <c r="C130" i="158" l="1"/>
  <c r="J141" i="158"/>
  <c r="J130" i="158" s="1"/>
  <c r="J140" i="158"/>
</calcChain>
</file>

<file path=xl/sharedStrings.xml><?xml version="1.0" encoding="utf-8"?>
<sst xmlns="http://schemas.openxmlformats.org/spreadsheetml/2006/main" count="2936" uniqueCount="314">
  <si>
    <t>Diesel
Marino</t>
  </si>
  <si>
    <t>Años: 1996 - 2002</t>
  </si>
  <si>
    <t>Nombre</t>
  </si>
  <si>
    <t xml:space="preserve">Oleoducto
(Arraijan-Howard) </t>
  </si>
  <si>
    <t>Decal Panamá S.A.</t>
  </si>
  <si>
    <t>Isla
Taboguilla</t>
  </si>
  <si>
    <t>60 - 77'</t>
  </si>
  <si>
    <t>(Balboas / Galón)</t>
  </si>
  <si>
    <t>Administrador</t>
  </si>
  <si>
    <t>Terminal
Portuario</t>
  </si>
  <si>
    <t>Calado</t>
  </si>
  <si>
    <t>Producto
Principal</t>
  </si>
  <si>
    <t>Capacidad de
Almacenamiento</t>
  </si>
  <si>
    <t>Combustibles
de Aviación</t>
  </si>
  <si>
    <t>ZONAS LIBRES DE PETRÓLEO</t>
  </si>
  <si>
    <t>Autoridad
Marítima
de Panamá</t>
  </si>
  <si>
    <t>Cristobal</t>
  </si>
  <si>
    <t>Combustibles
Marinos</t>
  </si>
  <si>
    <t>Crudos y
Derivados</t>
  </si>
  <si>
    <t>Petroport, S.A.</t>
  </si>
  <si>
    <t>Balboa</t>
  </si>
  <si>
    <t>Charco Azul</t>
  </si>
  <si>
    <t>Bahía
Las Minas</t>
  </si>
  <si>
    <t>Fuente:  Dirección General de Hidrocarburos del Ministerio de Comercio e Industrias</t>
  </si>
  <si>
    <t>IMPORTACIÓN DE PETRÓLEO, VOLUMEN Y COSTO POR BARRIL</t>
  </si>
  <si>
    <t>Volumen en
Barriles</t>
  </si>
  <si>
    <t>INTRODUCCIÓN DE PRODUCTOS TERMINADOS</t>
  </si>
  <si>
    <t>(Barriles)</t>
  </si>
  <si>
    <t>Gasolinas (1)</t>
  </si>
  <si>
    <t>Productos Negros (2)</t>
  </si>
  <si>
    <t>CONSUMO NACIONAL DE DERIVADOS DE PETRÓLEO</t>
  </si>
  <si>
    <t>Gas
Super</t>
  </si>
  <si>
    <t>Gas
sin Plomo</t>
  </si>
  <si>
    <t>Gas
Regular</t>
  </si>
  <si>
    <t>Diesel
Liviano</t>
  </si>
  <si>
    <t>Low
Viscosity</t>
  </si>
  <si>
    <t>Gas
Licuado</t>
  </si>
  <si>
    <t>COMPARACIÓN DE PRECIOS DE PARIDAD DE GASOLINAS Y DIESEL LIVIANO</t>
  </si>
  <si>
    <t>(B/. / Gal.)</t>
  </si>
  <si>
    <t>Mes</t>
  </si>
  <si>
    <t>COMPARACIÓN DE PRECIOS DE GASOLINAS Y DIESEL EN LAS ESTACIONES DE SERVICIO</t>
  </si>
  <si>
    <t>CENTROAMERICA: PRECIO PROMEDIO MENSUAL DE GASOLINA</t>
  </si>
  <si>
    <t xml:space="preserve">Y DIESEL PARA EL CONSUMIDOR FINAL </t>
  </si>
  <si>
    <t>Costa Rica</t>
  </si>
  <si>
    <t>Honduras</t>
  </si>
  <si>
    <t>El Salvador</t>
  </si>
  <si>
    <t>Guatemala</t>
  </si>
  <si>
    <t>Nicaragua</t>
  </si>
  <si>
    <t>(Miles BBL.)</t>
  </si>
  <si>
    <t>Volúmen</t>
  </si>
  <si>
    <t>Valor CIF</t>
  </si>
  <si>
    <t>Valor FOB</t>
  </si>
  <si>
    <t>Gasolina</t>
  </si>
  <si>
    <t>Bunker C</t>
  </si>
  <si>
    <t>Diesel Liv.</t>
  </si>
  <si>
    <t>Gas Lic.</t>
  </si>
  <si>
    <t>Gráfica SH-1</t>
  </si>
  <si>
    <t>Gráfica SH-2</t>
  </si>
  <si>
    <t>Gráfica SH-3</t>
  </si>
  <si>
    <t>Gráfica SH-4</t>
  </si>
  <si>
    <t>Gráfica SH-5</t>
  </si>
  <si>
    <t>Precios de Paridad (Promedio Mensual)</t>
  </si>
  <si>
    <t>CUADRO SH-1</t>
  </si>
  <si>
    <t>CUADRO SH-3</t>
  </si>
  <si>
    <t>Cuadro SH-9</t>
  </si>
  <si>
    <t>CUADRO SH-10</t>
  </si>
  <si>
    <t>Importación de Petróleo</t>
  </si>
  <si>
    <t>Valor CIF del Barril de Petróleo Importado</t>
  </si>
  <si>
    <t>Estructura del Costo del Barril de Petróleo Importado</t>
  </si>
  <si>
    <t>Consumo Nacional de Derivados de Petróleo</t>
  </si>
  <si>
    <t>Diesel Liviano
BBL</t>
  </si>
  <si>
    <t>Diesel Marino
BBL</t>
  </si>
  <si>
    <t>Bunker C
BBL</t>
  </si>
  <si>
    <t>Promedio 1999</t>
  </si>
  <si>
    <t>Promedio 2000</t>
  </si>
  <si>
    <t>Promedio 2001</t>
  </si>
  <si>
    <t>Diesel</t>
  </si>
  <si>
    <t>-</t>
  </si>
  <si>
    <t>Total</t>
  </si>
  <si>
    <t>Diesel Marino</t>
  </si>
  <si>
    <t>Chiriquí Grande</t>
  </si>
  <si>
    <t>TOTAL</t>
  </si>
  <si>
    <t>Año</t>
  </si>
  <si>
    <t>Promedio</t>
  </si>
  <si>
    <t>Otros</t>
  </si>
  <si>
    <t>Panamá</t>
  </si>
  <si>
    <t>Enero</t>
  </si>
  <si>
    <t>Febrero</t>
  </si>
  <si>
    <t>Marzo</t>
  </si>
  <si>
    <t>Abril</t>
  </si>
  <si>
    <t>Mayo</t>
  </si>
  <si>
    <t>Junio</t>
  </si>
  <si>
    <t>Tasa Promedio (%)</t>
  </si>
  <si>
    <t>Julio</t>
  </si>
  <si>
    <t>Agosto</t>
  </si>
  <si>
    <t>Octubre</t>
  </si>
  <si>
    <t>Noviembre</t>
  </si>
  <si>
    <t>Diciembre</t>
  </si>
  <si>
    <t>(Miles de Galones)</t>
  </si>
  <si>
    <t>PROMEDIO</t>
  </si>
  <si>
    <t>Detalle</t>
  </si>
  <si>
    <t>Septiembre</t>
  </si>
  <si>
    <t>Variac. %</t>
  </si>
  <si>
    <t xml:space="preserve">     Total</t>
  </si>
  <si>
    <t>37 - 40'</t>
  </si>
  <si>
    <t>31 - 40'</t>
  </si>
  <si>
    <t>70'</t>
  </si>
  <si>
    <t>49'</t>
  </si>
  <si>
    <t>39'</t>
  </si>
  <si>
    <t>ALMACENAMIENTO TOTAL DE PANAMA   (BARRILES)</t>
  </si>
  <si>
    <t>Valor F.O.B.</t>
  </si>
  <si>
    <t>Flete</t>
  </si>
  <si>
    <t>Seguro</t>
  </si>
  <si>
    <t>Valor C.I.F.</t>
  </si>
  <si>
    <t>B/./Barril</t>
  </si>
  <si>
    <t>I Trimestre</t>
  </si>
  <si>
    <t>II Trimestre</t>
  </si>
  <si>
    <t>III Trimestre</t>
  </si>
  <si>
    <t>IV Trimestre</t>
  </si>
  <si>
    <t>Total Anual</t>
  </si>
  <si>
    <t>PRODUCTOS</t>
  </si>
  <si>
    <t>Nafta</t>
  </si>
  <si>
    <t>Ker/Jet</t>
  </si>
  <si>
    <t>Diesel Liviano</t>
  </si>
  <si>
    <t>Sub total</t>
  </si>
  <si>
    <t>L.P.G. Refpan</t>
  </si>
  <si>
    <t>L.P.G. Petroport</t>
  </si>
  <si>
    <t>Asfalto</t>
  </si>
  <si>
    <t>Low Viscosity</t>
  </si>
  <si>
    <t>Nota:  (1)  Gasolinas:  Gas 95 C/PB o S/PB, Gas 87 C/PB o S/PB, reformado y AV Gas</t>
  </si>
  <si>
    <t xml:space="preserve">          (2)  Productos Negros:  Bunker C y H.C.G.O.</t>
  </si>
  <si>
    <t>Kerosene</t>
  </si>
  <si>
    <t>Bunker C.</t>
  </si>
  <si>
    <t>AV Gas</t>
  </si>
  <si>
    <t>CONSUMO DE COMBUSTIBLES DEL SECTOR GOBIERNO</t>
  </si>
  <si>
    <t>(Galones)</t>
  </si>
  <si>
    <t>Gasolinas</t>
  </si>
  <si>
    <t>CONSUMO DE COMBUSTIBLE DE LA FLOTA PESQUERA</t>
  </si>
  <si>
    <t xml:space="preserve">     I Trimestre</t>
  </si>
  <si>
    <t xml:space="preserve">     II Trimestre</t>
  </si>
  <si>
    <t xml:space="preserve">     III Trimestre</t>
  </si>
  <si>
    <t xml:space="preserve">     IV Trimestre</t>
  </si>
  <si>
    <t>VENTAS DE COMBUSTIBLES Y LUBRICANTES EN ESTACIONES DE SERVICIO</t>
  </si>
  <si>
    <t>Lubricantes</t>
  </si>
  <si>
    <t xml:space="preserve">Enero </t>
  </si>
  <si>
    <t xml:space="preserve">Abril </t>
  </si>
  <si>
    <t xml:space="preserve">Diciembre  </t>
  </si>
  <si>
    <t>Promedio Anual</t>
  </si>
  <si>
    <t>POR BBL.</t>
  </si>
  <si>
    <t>Promedio 1998</t>
  </si>
  <si>
    <t>Promedio 2002</t>
  </si>
  <si>
    <t>Importación de Petróleo, Volumen y Costo por Barril - Año 2001</t>
  </si>
  <si>
    <t>Importación de Petróleo, Volumen y Costo por Barril - Año 2002</t>
  </si>
  <si>
    <r>
      <t>Fuente:</t>
    </r>
    <r>
      <rPr>
        <sz val="8"/>
        <rFont val="Arial"/>
        <family val="2"/>
      </rPr>
      <t xml:space="preserve">  Dirección General de Hidrocarburos / Ministerio de Comercio e Industrias</t>
    </r>
  </si>
  <si>
    <t>Importación de Petróleo, Volumen y Costo por Barril - Año 2000</t>
  </si>
  <si>
    <t>AÑO: 2002</t>
  </si>
  <si>
    <t>Importación de Petróleo, Volumen y Costo por Barril - Año 1999</t>
  </si>
  <si>
    <t>AÑOS: 1996 - 1998</t>
  </si>
  <si>
    <t>CUADRO SH-2A</t>
  </si>
  <si>
    <t>Importación de Petróleo, Volumen y Costo por Barril - Año 1996</t>
  </si>
  <si>
    <t>Importación de Petróleo, Volumen y Costo por Barril - Año 1997</t>
  </si>
  <si>
    <t>Importación de Petróleo, Volumen y Costo por Barril - Año 1998</t>
  </si>
  <si>
    <t>CUADRO SH-2B</t>
  </si>
  <si>
    <t>CUADRO SH-2C</t>
  </si>
  <si>
    <t>Gasolina
sin plomo
95 octanos</t>
  </si>
  <si>
    <t>Gasolina
sin plomo
91 octanos</t>
  </si>
  <si>
    <t>AÑOS: 1999 - 2001</t>
  </si>
  <si>
    <t>Combustible Utilizado en Generación (Galones)</t>
  </si>
  <si>
    <t>Generación Eléctrica</t>
  </si>
  <si>
    <t>Combustible Utilizado en Transporte (Galones)</t>
  </si>
  <si>
    <t>Transporte</t>
  </si>
  <si>
    <t>Gasolina sin Plomo 95 Oct.</t>
  </si>
  <si>
    <t>Gasolina sin Plomo 91 Oct.</t>
  </si>
  <si>
    <t>Gráfica SH-6</t>
  </si>
  <si>
    <t>Comparación de Combustible Utilizado en Transporte vs Sector Eléctrico</t>
  </si>
  <si>
    <t>Porcentaje</t>
  </si>
  <si>
    <t>Diesel Liviano
Transporte</t>
  </si>
  <si>
    <t>Jet  Fuel</t>
  </si>
  <si>
    <t>Promedio 2003</t>
  </si>
  <si>
    <t>1995 - 2003</t>
  </si>
  <si>
    <t>ZONAS LIBRES DE PETRÓLEO, REFPAN, S.A., PETROPORT, S.A., ESSO, Y SHELL</t>
  </si>
  <si>
    <t>Bunker</t>
  </si>
  <si>
    <t>Promedio 2004</t>
  </si>
  <si>
    <t>Fuente:  Dirección General de Hidrocarburos, del Ministerio de Comercio e Industrias (DGH-MICI)</t>
  </si>
  <si>
    <t>Nota:     Las cifras correspondientes al año 2004 están siendo depuradas por la DGH-MICI</t>
  </si>
  <si>
    <t>Promedio 2005</t>
  </si>
  <si>
    <t>CUADRO SH-4A</t>
  </si>
  <si>
    <t>(Miles de Barriles)</t>
  </si>
  <si>
    <t>CUADRO SH-4B</t>
  </si>
  <si>
    <t>CUADRO SH-5A</t>
  </si>
  <si>
    <t>CUADRO SH-6A</t>
  </si>
  <si>
    <t>CUADRO SH-6B</t>
  </si>
  <si>
    <t>CUADRO SH-7A</t>
  </si>
  <si>
    <t>CUADRO SH-7B</t>
  </si>
  <si>
    <t>Cuadro SH-8A</t>
  </si>
  <si>
    <t>Gasolina Sin Plomo 91 Octano</t>
  </si>
  <si>
    <t>Gasolina Regular Con Plomo</t>
  </si>
  <si>
    <t>Gasolina Premium Con Plomo</t>
  </si>
  <si>
    <t>Gasolina Sin Plomo 95 Octano</t>
  </si>
  <si>
    <t>(B/. / BBL)</t>
  </si>
  <si>
    <t>Cuadro SH-8B</t>
  </si>
  <si>
    <t>CUADRO SH-5B</t>
  </si>
  <si>
    <t>SUBSIDIO DEL GAS LICUADO DE PETRÓLEO Y SU PRECIO DE PARIDAD</t>
  </si>
  <si>
    <t>Comparación de los
Precios de Paridad
(B/. / Gal.)</t>
  </si>
  <si>
    <t>LPG A Granel</t>
  </si>
  <si>
    <t>Cilindro de 25 Libras</t>
  </si>
  <si>
    <t>Monto del Subsidio
Pagado por el Estado
(Balboas)</t>
  </si>
  <si>
    <t>CUADRO SH-11</t>
  </si>
  <si>
    <t>Precios de Paridad
(B/. / Cilindro)</t>
  </si>
  <si>
    <t>Gasolina sin Plomo  (91 Octanos)</t>
  </si>
  <si>
    <t>Gasolina sin Plomo  (95 Octanos)</t>
  </si>
  <si>
    <t>Diesel Normal</t>
  </si>
  <si>
    <t>1998 - 2000</t>
  </si>
  <si>
    <t>Precios de Paridad Selectos - Promedios Mensuales</t>
  </si>
  <si>
    <t>Promedio 2006</t>
  </si>
  <si>
    <t>Promedio 2007</t>
  </si>
  <si>
    <t>Promedio 2008</t>
  </si>
  <si>
    <t>Promedio 2009</t>
  </si>
  <si>
    <t>Platts HFO</t>
  </si>
  <si>
    <t>Fuente:  SNE</t>
  </si>
  <si>
    <t>Gas Licuado</t>
  </si>
  <si>
    <t>Comb. Marinos</t>
  </si>
  <si>
    <t>Derivados de Petróleo</t>
  </si>
  <si>
    <t>Petroterminal de Panamá, S.A.</t>
  </si>
  <si>
    <t>Petroamerica Terminal, S.A.</t>
  </si>
  <si>
    <t>2001 - 2010</t>
  </si>
  <si>
    <t>Promedio 2010</t>
  </si>
  <si>
    <t>Subsidio</t>
  </si>
  <si>
    <t>Notas:</t>
  </si>
  <si>
    <t>Valores de Panamá suministrados por la SNE</t>
  </si>
  <si>
    <t xml:space="preserve">Valores de los demás paises de Centroamérica suministrados por el Comité de Cooperación de Hidrocarburos de América Central (CCHAC)
</t>
  </si>
  <si>
    <t>Diesel Mejorado (hasta Mayo de 2009) - Diesel Bajo en Azufre (desde Junio de 2009)</t>
  </si>
  <si>
    <t>AveGas</t>
  </si>
  <si>
    <t>Jet Fuel</t>
  </si>
  <si>
    <t>Promedio 2011</t>
  </si>
  <si>
    <t>Areopuerto Internacional de Tocumen, S.A.</t>
  </si>
  <si>
    <t>Consorcio
ASIG
Panamá</t>
  </si>
  <si>
    <t>Areopuerto Internacional de Tocumen</t>
  </si>
  <si>
    <t>AEGEAN OIL TERMINALS
(PANAMA) S.A.</t>
  </si>
  <si>
    <t>Refinería Panamá, S.A</t>
  </si>
  <si>
    <t>Refinería Panamá, S.A.</t>
  </si>
  <si>
    <t>Petroamérica Terminal, S.A.     APSA</t>
  </si>
  <si>
    <t xml:space="preserve"> 39'</t>
  </si>
  <si>
    <t>Colón oil and Services, S.A.  COASSA</t>
  </si>
  <si>
    <t xml:space="preserve">Colón oil and Services, S.A.  </t>
  </si>
  <si>
    <t>Coco Solo Cristóbal</t>
  </si>
  <si>
    <t>Derivados de Petróleo y Combustibles Marinos</t>
  </si>
  <si>
    <t>Promedio 2012</t>
  </si>
  <si>
    <t>Vasco Nuñez de Balboa (Rodman)</t>
  </si>
  <si>
    <t>Melones Oil Terminal, INC</t>
  </si>
  <si>
    <t xml:space="preserve">Melones Oil Terminal, INC.  </t>
  </si>
  <si>
    <t>Isla Melones Panamá</t>
  </si>
  <si>
    <t>Derivados de Petroleo</t>
  </si>
  <si>
    <t>Promedio 2013</t>
  </si>
  <si>
    <t>Gas
con Etanol</t>
  </si>
  <si>
    <t>Año: 2014</t>
  </si>
  <si>
    <t>Promedio 2014</t>
  </si>
  <si>
    <t>TELFERS TANK, INC</t>
  </si>
  <si>
    <t>Isla TELFERS Colón</t>
  </si>
  <si>
    <t>Nota:   La Refineria Panamá S.A.,  opero hasta el  año 2002.</t>
  </si>
  <si>
    <t>Gasolina de Aviación</t>
  </si>
  <si>
    <t>Fuel Oil</t>
  </si>
  <si>
    <t>Asfaltos</t>
  </si>
  <si>
    <t>Grasas Lubricantes</t>
  </si>
  <si>
    <t>Gases</t>
  </si>
  <si>
    <t>Coque de Petróleo sin calcinar</t>
  </si>
  <si>
    <t>Parafina, Betunes, Etc</t>
  </si>
  <si>
    <t>Fuente:  Instituto Nacional de Estadísticas y Censo</t>
  </si>
  <si>
    <t>IMPORTACION DE DERIVADOS DE PETRÓLEO</t>
  </si>
  <si>
    <t xml:space="preserve">Precio Promedio Mensual de Gasolina y Diesel para el Consumidor Final en América Central </t>
  </si>
  <si>
    <t>Aceites, Cera, Vaselinas,</t>
  </si>
  <si>
    <t>Promedio 2015</t>
  </si>
  <si>
    <t>Año: 2015</t>
  </si>
  <si>
    <t>Gasolina
Super</t>
  </si>
  <si>
    <t>Gasolina
Regular</t>
  </si>
  <si>
    <t>COSTA RICA</t>
  </si>
  <si>
    <t>EL SALVADOR</t>
  </si>
  <si>
    <t>GUATEMALA</t>
  </si>
  <si>
    <t>HONDURAS</t>
  </si>
  <si>
    <t>NICARAGUA</t>
  </si>
  <si>
    <t>PANAMA</t>
  </si>
  <si>
    <t>Gasolina Superior</t>
  </si>
  <si>
    <t>Gasolina Regular</t>
  </si>
  <si>
    <t>C</t>
  </si>
  <si>
    <t>Promedio 2016</t>
  </si>
  <si>
    <t>Año: 2016</t>
  </si>
  <si>
    <t>Promedio 2017</t>
  </si>
  <si>
    <t>Año: 2017</t>
  </si>
  <si>
    <t>Año: 2010</t>
  </si>
  <si>
    <t>Año: 2009</t>
  </si>
  <si>
    <t>Nota:</t>
  </si>
  <si>
    <t>Promedio 2018</t>
  </si>
  <si>
    <t>Año: 2018</t>
  </si>
  <si>
    <t>Años: 2015 - 2018</t>
  </si>
  <si>
    <t>Promedio 2019</t>
  </si>
  <si>
    <t>Año: 2019</t>
  </si>
  <si>
    <t>CENTROAMERICA: PRECIO PROMEDIO TRIMESTRAL DE GASOLINA</t>
  </si>
  <si>
    <t>Primer Trimestre</t>
  </si>
  <si>
    <t>Segundo Trimestre</t>
  </si>
  <si>
    <t>Tercer Trimestre</t>
  </si>
  <si>
    <t>Cuarto Trimestre</t>
  </si>
  <si>
    <t>Años: 2015 - 2019</t>
  </si>
  <si>
    <t>Años: 2015 - 2020</t>
  </si>
  <si>
    <t>Año: 2020</t>
  </si>
  <si>
    <t>Promedio 2020</t>
  </si>
  <si>
    <t>2011 - 2020</t>
  </si>
  <si>
    <t xml:space="preserve">         2003 - 2021</t>
  </si>
  <si>
    <t>1999 - 2021</t>
  </si>
  <si>
    <t>Variac.
1999-2021
%</t>
  </si>
  <si>
    <t>2001 - 2021</t>
  </si>
  <si>
    <t>Consumo Nacional de Derivados de Petróleo: Años 1996 a 2021</t>
  </si>
  <si>
    <t>Años: 1996 - 2021</t>
  </si>
  <si>
    <t>Años: 2009 - 2021</t>
  </si>
  <si>
    <t>Año: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</si>
</sst>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"/>
    <numFmt numFmtId="165" formatCode="0.0%"/>
    <numFmt numFmtId="166" formatCode="0.0000"/>
    <numFmt numFmtId="167" formatCode="0.0000_)"/>
    <numFmt numFmtId="168" formatCode="#,##0.0000"/>
    <numFmt numFmtId="169" formatCode="_-* #,##0.00\ _P_t_s_-;\-* #,##0.00\ _P_t_s_-;_-* &quot;-&quot;??\ _P_t_s_-;_-@_-"/>
    <numFmt numFmtId="170" formatCode="_-[$€-2]* #,##0.00_-;\-[$€-2]* #,##0.00_-;_-[$€-2]* &quot;-&quot;??_-"/>
    <numFmt numFmtId="171" formatCode="#,##0.0_ ;[Red]\-#,##0.0\ "/>
    <numFmt numFmtId="172" formatCode="#,##0.00_ ;[Red]\-#,##0.00\ "/>
    <numFmt numFmtId="173" formatCode="#,##0_ ;[Red]\-#,##0\ "/>
    <numFmt numFmtId="174" formatCode="#,##0.0000_ ;[Red]\-#,##0.0000\ "/>
    <numFmt numFmtId="175" formatCode="mmmm\-yy"/>
    <numFmt numFmtId="176" formatCode="0.00000"/>
    <numFmt numFmtId="177" formatCode="0.000"/>
    <numFmt numFmtId="178" formatCode="#,##0.0000;[Red]#,##0.0000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6"/>
      <name val="Courier"/>
      <family val="3"/>
    </font>
    <font>
      <b/>
      <sz val="8"/>
      <name val="Courier"/>
      <family val="3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98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3" fontId="6" fillId="0" borderId="1" xfId="0" applyNumberFormat="1" applyFont="1" applyBorder="1" applyAlignment="1">
      <alignment vertical="center"/>
    </xf>
    <xf numFmtId="173" fontId="6" fillId="0" borderId="2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3" fontId="6" fillId="0" borderId="3" xfId="0" applyNumberFormat="1" applyFont="1" applyBorder="1" applyAlignment="1">
      <alignment vertical="center"/>
    </xf>
    <xf numFmtId="173" fontId="6" fillId="0" borderId="4" xfId="0" applyNumberFormat="1" applyFont="1" applyBorder="1" applyAlignment="1">
      <alignment vertical="center"/>
    </xf>
    <xf numFmtId="173" fontId="5" fillId="0" borderId="2" xfId="0" applyNumberFormat="1" applyFont="1" applyBorder="1" applyAlignment="1">
      <alignment vertical="center"/>
    </xf>
    <xf numFmtId="173" fontId="5" fillId="0" borderId="1" xfId="0" applyNumberFormat="1" applyFont="1" applyBorder="1" applyAlignment="1">
      <alignment vertical="center"/>
    </xf>
    <xf numFmtId="173" fontId="6" fillId="0" borderId="5" xfId="0" applyNumberFormat="1" applyFont="1" applyBorder="1" applyAlignment="1">
      <alignment vertical="center"/>
    </xf>
    <xf numFmtId="171" fontId="5" fillId="0" borderId="2" xfId="0" applyNumberFormat="1" applyFont="1" applyBorder="1" applyAlignment="1">
      <alignment vertical="center"/>
    </xf>
    <xf numFmtId="173" fontId="5" fillId="0" borderId="6" xfId="0" applyNumberFormat="1" applyFont="1" applyBorder="1" applyAlignment="1">
      <alignment vertical="center"/>
    </xf>
    <xf numFmtId="173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3" fontId="6" fillId="0" borderId="0" xfId="0" applyNumberFormat="1" applyFont="1" applyBorder="1" applyAlignment="1">
      <alignment vertical="center"/>
    </xf>
    <xf numFmtId="173" fontId="6" fillId="0" borderId="7" xfId="0" applyNumberFormat="1" applyFont="1" applyBorder="1" applyAlignment="1">
      <alignment vertical="center"/>
    </xf>
    <xf numFmtId="173" fontId="5" fillId="0" borderId="8" xfId="0" applyNumberFormat="1" applyFont="1" applyBorder="1" applyAlignment="1">
      <alignment vertical="center"/>
    </xf>
    <xf numFmtId="173" fontId="5" fillId="0" borderId="9" xfId="0" applyNumberFormat="1" applyFont="1" applyBorder="1" applyAlignment="1">
      <alignment vertical="center"/>
    </xf>
    <xf numFmtId="173" fontId="6" fillId="0" borderId="10" xfId="0" applyNumberFormat="1" applyFont="1" applyBorder="1" applyAlignment="1">
      <alignment vertical="center"/>
    </xf>
    <xf numFmtId="173" fontId="5" fillId="0" borderId="11" xfId="0" applyNumberFormat="1" applyFont="1" applyBorder="1" applyAlignment="1">
      <alignment vertical="center"/>
    </xf>
    <xf numFmtId="173" fontId="6" fillId="0" borderId="11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73" fontId="5" fillId="0" borderId="5" xfId="0" applyNumberFormat="1" applyFont="1" applyFill="1" applyBorder="1" applyAlignment="1">
      <alignment horizontal="center" vertical="center" wrapText="1"/>
    </xf>
    <xf numFmtId="173" fontId="5" fillId="0" borderId="5" xfId="0" applyNumberFormat="1" applyFont="1" applyFill="1" applyBorder="1" applyAlignment="1">
      <alignment horizontal="center" vertical="center"/>
    </xf>
    <xf numFmtId="173" fontId="5" fillId="0" borderId="25" xfId="0" applyNumberFormat="1" applyFont="1" applyBorder="1" applyAlignment="1">
      <alignment vertical="center"/>
    </xf>
    <xf numFmtId="173" fontId="6" fillId="0" borderId="26" xfId="0" applyNumberFormat="1" applyFont="1" applyBorder="1" applyAlignment="1">
      <alignment vertical="center"/>
    </xf>
    <xf numFmtId="173" fontId="6" fillId="0" borderId="27" xfId="0" applyNumberFormat="1" applyFont="1" applyBorder="1" applyAlignment="1">
      <alignment vertical="center"/>
    </xf>
    <xf numFmtId="173" fontId="5" fillId="0" borderId="24" xfId="0" applyNumberFormat="1" applyFont="1" applyBorder="1" applyAlignment="1">
      <alignment vertical="center"/>
    </xf>
    <xf numFmtId="173" fontId="5" fillId="0" borderId="14" xfId="0" applyNumberFormat="1" applyFont="1" applyBorder="1" applyAlignment="1">
      <alignment vertical="center"/>
    </xf>
    <xf numFmtId="173" fontId="5" fillId="0" borderId="0" xfId="0" applyNumberFormat="1" applyFont="1" applyBorder="1" applyAlignment="1">
      <alignment vertical="center"/>
    </xf>
    <xf numFmtId="173" fontId="6" fillId="0" borderId="0" xfId="0" applyNumberFormat="1" applyFont="1" applyFill="1" applyBorder="1" applyAlignment="1">
      <alignment vertical="center"/>
    </xf>
    <xf numFmtId="171" fontId="6" fillId="0" borderId="0" xfId="0" applyNumberFormat="1" applyFont="1" applyFill="1" applyBorder="1" applyAlignment="1">
      <alignment vertical="center"/>
    </xf>
    <xf numFmtId="173" fontId="5" fillId="0" borderId="0" xfId="0" applyNumberFormat="1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vertical="center"/>
    </xf>
    <xf numFmtId="173" fontId="6" fillId="0" borderId="28" xfId="0" applyNumberFormat="1" applyFont="1" applyBorder="1" applyAlignment="1">
      <alignment vertical="center"/>
    </xf>
    <xf numFmtId="173" fontId="5" fillId="0" borderId="17" xfId="0" applyNumberFormat="1" applyFont="1" applyBorder="1" applyAlignment="1">
      <alignment vertical="center"/>
    </xf>
    <xf numFmtId="173" fontId="6" fillId="0" borderId="29" xfId="0" applyNumberFormat="1" applyFont="1" applyBorder="1" applyAlignment="1">
      <alignment vertical="center"/>
    </xf>
    <xf numFmtId="173" fontId="5" fillId="0" borderId="30" xfId="0" applyNumberFormat="1" applyFont="1" applyBorder="1" applyAlignment="1">
      <alignment vertical="center"/>
    </xf>
    <xf numFmtId="173" fontId="6" fillId="0" borderId="31" xfId="0" applyNumberFormat="1" applyFont="1" applyBorder="1" applyAlignment="1">
      <alignment vertical="center"/>
    </xf>
    <xf numFmtId="173" fontId="6" fillId="0" borderId="32" xfId="0" applyNumberFormat="1" applyFont="1" applyBorder="1" applyAlignment="1">
      <alignment vertical="center"/>
    </xf>
    <xf numFmtId="173" fontId="6" fillId="0" borderId="30" xfId="0" applyNumberFormat="1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172" fontId="5" fillId="0" borderId="0" xfId="0" applyNumberFormat="1" applyFont="1" applyFill="1" applyBorder="1" applyAlignment="1">
      <alignment vertical="center"/>
    </xf>
    <xf numFmtId="173" fontId="6" fillId="0" borderId="3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" fontId="3" fillId="0" borderId="0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2" fillId="0" borderId="3" xfId="2" applyNumberFormat="1" applyFont="1" applyBorder="1" applyAlignment="1">
      <alignment horizontal="center" vertical="center" wrapText="1"/>
    </xf>
    <xf numFmtId="3" fontId="2" fillId="0" borderId="2" xfId="2" applyNumberFormat="1" applyFont="1" applyBorder="1" applyAlignment="1">
      <alignment horizontal="center" vertical="center" wrapText="1"/>
    </xf>
    <xf numFmtId="3" fontId="2" fillId="0" borderId="25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3" borderId="25" xfId="0" applyNumberFormat="1" applyFill="1" applyBorder="1" applyAlignment="1">
      <alignment horizontal="center" vertical="center"/>
    </xf>
    <xf numFmtId="2" fontId="0" fillId="4" borderId="25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24" xfId="0" applyNumberForma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167" fontId="2" fillId="0" borderId="0" xfId="0" applyNumberFormat="1" applyFont="1" applyFill="1" applyBorder="1" applyAlignment="1">
      <alignment horizontal="right" vertical="center" wrapText="1"/>
    </xf>
    <xf numFmtId="0" fontId="3" fillId="0" borderId="35" xfId="0" applyFont="1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173" fontId="6" fillId="0" borderId="36" xfId="0" applyNumberFormat="1" applyFont="1" applyBorder="1" applyAlignment="1">
      <alignment vertical="center"/>
    </xf>
    <xf numFmtId="173" fontId="6" fillId="0" borderId="37" xfId="0" applyNumberFormat="1" applyFont="1" applyBorder="1" applyAlignment="1">
      <alignment vertical="center"/>
    </xf>
    <xf numFmtId="173" fontId="5" fillId="0" borderId="37" xfId="0" applyNumberFormat="1" applyFont="1" applyBorder="1" applyAlignment="1">
      <alignment vertical="center"/>
    </xf>
    <xf numFmtId="173" fontId="6" fillId="0" borderId="38" xfId="0" applyNumberFormat="1" applyFont="1" applyBorder="1" applyAlignment="1">
      <alignment vertical="center"/>
    </xf>
    <xf numFmtId="165" fontId="5" fillId="0" borderId="0" xfId="4" applyNumberFormat="1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65" fontId="3" fillId="0" borderId="2" xfId="0" applyNumberFormat="1" applyFont="1" applyBorder="1"/>
    <xf numFmtId="173" fontId="6" fillId="0" borderId="39" xfId="0" applyNumberFormat="1" applyFont="1" applyBorder="1" applyAlignment="1">
      <alignment vertical="center"/>
    </xf>
    <xf numFmtId="173" fontId="5" fillId="0" borderId="40" xfId="0" applyNumberFormat="1" applyFont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73" fontId="5" fillId="0" borderId="41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27" xfId="2" applyNumberFormat="1" applyFont="1" applyBorder="1" applyAlignment="1">
      <alignment horizontal="center" vertical="center" wrapText="1"/>
    </xf>
    <xf numFmtId="3" fontId="0" fillId="0" borderId="33" xfId="0" applyNumberFormat="1" applyBorder="1" applyAlignment="1">
      <alignment horizontal="center" vertical="center"/>
    </xf>
    <xf numFmtId="171" fontId="5" fillId="0" borderId="0" xfId="0" applyNumberFormat="1" applyFont="1" applyFill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43" xfId="0" applyNumberFormat="1" applyFont="1" applyBorder="1" applyAlignment="1">
      <alignment horizontal="center" vertical="center" wrapText="1"/>
    </xf>
    <xf numFmtId="3" fontId="2" fillId="0" borderId="4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167" fontId="2" fillId="0" borderId="2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171" fontId="6" fillId="0" borderId="20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1" fontId="6" fillId="0" borderId="0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1" fontId="6" fillId="0" borderId="1" xfId="0" applyNumberFormat="1" applyFont="1" applyBorder="1" applyAlignment="1">
      <alignment horizontal="center" vertical="center"/>
    </xf>
    <xf numFmtId="171" fontId="6" fillId="0" borderId="0" xfId="0" applyNumberFormat="1" applyFont="1" applyBorder="1" applyAlignment="1">
      <alignment horizontal="center" vertical="center"/>
    </xf>
    <xf numFmtId="171" fontId="5" fillId="0" borderId="0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3" fontId="6" fillId="0" borderId="47" xfId="0" applyNumberFormat="1" applyFont="1" applyFill="1" applyBorder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2" fontId="5" fillId="0" borderId="33" xfId="0" applyNumberFormat="1" applyFont="1" applyBorder="1" applyAlignment="1">
      <alignment horizontal="right" vertical="center"/>
    </xf>
    <xf numFmtId="166" fontId="5" fillId="0" borderId="33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2" fontId="5" fillId="0" borderId="45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2" fontId="5" fillId="0" borderId="21" xfId="0" applyNumberFormat="1" applyFont="1" applyBorder="1" applyAlignment="1">
      <alignment horizontal="right" vertical="center"/>
    </xf>
    <xf numFmtId="166" fontId="5" fillId="0" borderId="21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2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2" fontId="6" fillId="0" borderId="0" xfId="0" applyNumberFormat="1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 vertical="center"/>
    </xf>
    <xf numFmtId="172" fontId="6" fillId="0" borderId="37" xfId="0" applyNumberFormat="1" applyFont="1" applyBorder="1" applyAlignment="1">
      <alignment horizontal="center" vertical="center"/>
    </xf>
    <xf numFmtId="172" fontId="6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3" fontId="0" fillId="0" borderId="2" xfId="0" applyNumberFormat="1" applyBorder="1" applyAlignment="1">
      <alignment horizontal="center" vertical="center"/>
    </xf>
    <xf numFmtId="173" fontId="15" fillId="0" borderId="2" xfId="0" applyNumberFormat="1" applyFont="1" applyBorder="1" applyAlignment="1">
      <alignment horizontal="center" vertical="center"/>
    </xf>
    <xf numFmtId="173" fontId="0" fillId="0" borderId="25" xfId="0" applyNumberFormat="1" applyBorder="1" applyAlignment="1">
      <alignment horizontal="center" vertical="center"/>
    </xf>
    <xf numFmtId="17" fontId="0" fillId="0" borderId="0" xfId="0" applyNumberFormat="1" applyFill="1" applyBorder="1" applyAlignment="1">
      <alignment horizontal="center" vertical="center"/>
    </xf>
    <xf numFmtId="173" fontId="0" fillId="0" borderId="0" xfId="0" applyNumberForma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3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 wrapText="1"/>
    </xf>
    <xf numFmtId="172" fontId="15" fillId="0" borderId="0" xfId="0" applyNumberFormat="1" applyFont="1" applyFill="1" applyBorder="1" applyAlignment="1">
      <alignment horizontal="center" vertical="center"/>
    </xf>
    <xf numFmtId="172" fontId="0" fillId="0" borderId="0" xfId="0" applyNumberFormat="1" applyFill="1" applyBorder="1" applyAlignment="1">
      <alignment horizontal="center" vertical="center"/>
    </xf>
    <xf numFmtId="173" fontId="0" fillId="0" borderId="6" xfId="0" applyNumberFormat="1" applyBorder="1" applyAlignment="1">
      <alignment horizontal="center" vertical="center"/>
    </xf>
    <xf numFmtId="173" fontId="15" fillId="0" borderId="6" xfId="0" applyNumberFormat="1" applyFont="1" applyBorder="1" applyAlignment="1">
      <alignment horizontal="center" vertical="center"/>
    </xf>
    <xf numFmtId="173" fontId="0" fillId="0" borderId="8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165" fontId="15" fillId="0" borderId="37" xfId="0" applyNumberFormat="1" applyFon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3" fontId="6" fillId="0" borderId="43" xfId="0" applyNumberFormat="1" applyFont="1" applyBorder="1" applyAlignment="1">
      <alignment vertical="center"/>
    </xf>
    <xf numFmtId="2" fontId="0" fillId="0" borderId="45" xfId="0" applyNumberFormat="1" applyBorder="1" applyAlignment="1">
      <alignment horizontal="center" vertical="center"/>
    </xf>
    <xf numFmtId="2" fontId="0" fillId="5" borderId="14" xfId="0" applyNumberForma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173" fontId="5" fillId="0" borderId="30" xfId="0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0" fontId="6" fillId="0" borderId="38" xfId="0" applyFont="1" applyBorder="1" applyAlignment="1">
      <alignment vertical="center"/>
    </xf>
    <xf numFmtId="3" fontId="5" fillId="0" borderId="37" xfId="0" applyNumberFormat="1" applyFont="1" applyBorder="1" applyAlignment="1">
      <alignment vertical="center"/>
    </xf>
    <xf numFmtId="3" fontId="6" fillId="0" borderId="39" xfId="0" applyNumberFormat="1" applyFont="1" applyBorder="1" applyAlignment="1">
      <alignment vertical="center"/>
    </xf>
    <xf numFmtId="174" fontId="6" fillId="0" borderId="7" xfId="0" applyNumberFormat="1" applyFont="1" applyBorder="1" applyAlignment="1">
      <alignment horizontal="center" vertical="center"/>
    </xf>
    <xf numFmtId="174" fontId="6" fillId="0" borderId="6" xfId="0" applyNumberFormat="1" applyFont="1" applyBorder="1" applyAlignment="1">
      <alignment horizontal="center" vertical="center"/>
    </xf>
    <xf numFmtId="174" fontId="6" fillId="0" borderId="26" xfId="0" applyNumberFormat="1" applyFont="1" applyBorder="1" applyAlignment="1">
      <alignment horizontal="center" vertical="center"/>
    </xf>
    <xf numFmtId="174" fontId="5" fillId="0" borderId="24" xfId="0" applyNumberFormat="1" applyFont="1" applyBorder="1" applyAlignment="1">
      <alignment horizontal="center" vertical="center"/>
    </xf>
    <xf numFmtId="174" fontId="6" fillId="0" borderId="5" xfId="0" applyNumberFormat="1" applyFont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6" fillId="0" borderId="20" xfId="0" applyNumberFormat="1" applyFont="1" applyBorder="1" applyAlignment="1">
      <alignment horizontal="center" vertical="center"/>
    </xf>
    <xf numFmtId="174" fontId="6" fillId="0" borderId="2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174" fontId="6" fillId="0" borderId="1" xfId="0" applyNumberFormat="1" applyFont="1" applyBorder="1" applyAlignment="1">
      <alignment horizontal="center" vertical="center"/>
    </xf>
    <xf numFmtId="174" fontId="6" fillId="0" borderId="25" xfId="0" applyNumberFormat="1" applyFont="1" applyBorder="1" applyAlignment="1">
      <alignment horizontal="center" vertical="center"/>
    </xf>
    <xf numFmtId="174" fontId="6" fillId="0" borderId="27" xfId="0" applyNumberFormat="1" applyFont="1" applyBorder="1" applyAlignment="1">
      <alignment horizontal="center" vertical="center"/>
    </xf>
    <xf numFmtId="174" fontId="5" fillId="0" borderId="14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174" fontId="5" fillId="0" borderId="21" xfId="0" applyNumberFormat="1" applyFont="1" applyBorder="1" applyAlignment="1">
      <alignment horizontal="center" vertical="center"/>
    </xf>
    <xf numFmtId="174" fontId="6" fillId="0" borderId="8" xfId="0" applyNumberFormat="1" applyFont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174" fontId="6" fillId="0" borderId="53" xfId="0" applyNumberFormat="1" applyFont="1" applyBorder="1" applyAlignment="1">
      <alignment horizontal="center" vertical="center"/>
    </xf>
    <xf numFmtId="174" fontId="6" fillId="0" borderId="9" xfId="0" applyNumberFormat="1" applyFont="1" applyBorder="1" applyAlignment="1">
      <alignment horizontal="center" vertical="center"/>
    </xf>
    <xf numFmtId="174" fontId="5" fillId="0" borderId="54" xfId="0" applyNumberFormat="1" applyFont="1" applyBorder="1" applyAlignment="1">
      <alignment horizontal="center" vertical="center"/>
    </xf>
    <xf numFmtId="174" fontId="5" fillId="0" borderId="13" xfId="0" applyNumberFormat="1" applyFont="1" applyBorder="1" applyAlignment="1">
      <alignment horizontal="center" vertical="center"/>
    </xf>
    <xf numFmtId="174" fontId="5" fillId="0" borderId="19" xfId="0" applyNumberFormat="1" applyFont="1" applyBorder="1" applyAlignment="1">
      <alignment horizontal="center" vertical="center"/>
    </xf>
    <xf numFmtId="174" fontId="6" fillId="0" borderId="47" xfId="0" applyNumberFormat="1" applyFont="1" applyBorder="1" applyAlignment="1">
      <alignment horizontal="center" vertical="center"/>
    </xf>
    <xf numFmtId="174" fontId="6" fillId="0" borderId="3" xfId="0" applyNumberFormat="1" applyFont="1" applyBorder="1" applyAlignment="1">
      <alignment horizontal="center" vertical="center"/>
    </xf>
    <xf numFmtId="174" fontId="6" fillId="0" borderId="36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174" fontId="6" fillId="0" borderId="55" xfId="0" applyNumberFormat="1" applyFont="1" applyBorder="1" applyAlignment="1">
      <alignment horizontal="center" vertical="center"/>
    </xf>
    <xf numFmtId="173" fontId="6" fillId="0" borderId="56" xfId="0" applyNumberFormat="1" applyFont="1" applyBorder="1" applyAlignment="1">
      <alignment vertical="center"/>
    </xf>
    <xf numFmtId="173" fontId="6" fillId="0" borderId="57" xfId="0" applyNumberFormat="1" applyFont="1" applyBorder="1" applyAlignment="1">
      <alignment vertical="center"/>
    </xf>
    <xf numFmtId="173" fontId="5" fillId="0" borderId="38" xfId="0" applyNumberFormat="1" applyFont="1" applyFill="1" applyBorder="1" applyAlignment="1">
      <alignment horizontal="center" vertical="center"/>
    </xf>
    <xf numFmtId="173" fontId="5" fillId="0" borderId="58" xfId="0" applyNumberFormat="1" applyFont="1" applyBorder="1" applyAlignment="1">
      <alignment vertical="center"/>
    </xf>
    <xf numFmtId="173" fontId="6" fillId="0" borderId="53" xfId="0" applyNumberFormat="1" applyFont="1" applyBorder="1" applyAlignment="1">
      <alignment vertical="center"/>
    </xf>
    <xf numFmtId="173" fontId="6" fillId="0" borderId="59" xfId="0" applyNumberFormat="1" applyFont="1" applyBorder="1" applyAlignment="1">
      <alignment vertical="center"/>
    </xf>
    <xf numFmtId="173" fontId="6" fillId="0" borderId="60" xfId="0" applyNumberFormat="1" applyFont="1" applyBorder="1" applyAlignment="1">
      <alignment vertical="center"/>
    </xf>
    <xf numFmtId="173" fontId="6" fillId="0" borderId="61" xfId="0" applyNumberFormat="1" applyFont="1" applyBorder="1" applyAlignment="1">
      <alignment vertical="center"/>
    </xf>
    <xf numFmtId="173" fontId="0" fillId="0" borderId="0" xfId="0" applyNumberFormat="1"/>
    <xf numFmtId="176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4" fontId="5" fillId="0" borderId="24" xfId="0" applyNumberFormat="1" applyFont="1" applyFill="1" applyBorder="1" applyAlignment="1">
      <alignment horizontal="center" vertical="center"/>
    </xf>
    <xf numFmtId="174" fontId="6" fillId="0" borderId="0" xfId="0" applyNumberFormat="1" applyFont="1" applyAlignment="1">
      <alignment vertical="center"/>
    </xf>
    <xf numFmtId="173" fontId="5" fillId="0" borderId="10" xfId="0" applyNumberFormat="1" applyFont="1" applyFill="1" applyBorder="1" applyAlignment="1">
      <alignment horizontal="center" vertical="center"/>
    </xf>
    <xf numFmtId="165" fontId="11" fillId="0" borderId="11" xfId="0" applyNumberFormat="1" applyFont="1" applyBorder="1"/>
    <xf numFmtId="173" fontId="5" fillId="0" borderId="12" xfId="0" applyNumberFormat="1" applyFont="1" applyBorder="1" applyAlignment="1">
      <alignment vertical="center"/>
    </xf>
    <xf numFmtId="173" fontId="6" fillId="0" borderId="34" xfId="0" applyNumberFormat="1" applyFont="1" applyBorder="1" applyAlignment="1">
      <alignment vertical="center"/>
    </xf>
    <xf numFmtId="173" fontId="6" fillId="0" borderId="62" xfId="0" applyNumberFormat="1" applyFont="1" applyBorder="1" applyAlignment="1">
      <alignment vertical="center"/>
    </xf>
    <xf numFmtId="173" fontId="5" fillId="0" borderId="42" xfId="0" applyNumberFormat="1" applyFont="1" applyFill="1" applyBorder="1" applyAlignment="1">
      <alignment horizontal="center" vertical="center" wrapText="1"/>
    </xf>
    <xf numFmtId="173" fontId="6" fillId="0" borderId="43" xfId="0" applyNumberFormat="1" applyFont="1" applyBorder="1" applyAlignment="1">
      <alignment vertical="center"/>
    </xf>
    <xf numFmtId="173" fontId="5" fillId="0" borderId="43" xfId="0" applyNumberFormat="1" applyFont="1" applyBorder="1" applyAlignment="1">
      <alignment vertical="center"/>
    </xf>
    <xf numFmtId="173" fontId="5" fillId="0" borderId="44" xfId="0" applyNumberFormat="1" applyFont="1" applyBorder="1" applyAlignment="1">
      <alignment vertical="center"/>
    </xf>
    <xf numFmtId="173" fontId="6" fillId="0" borderId="46" xfId="0" applyNumberFormat="1" applyFont="1" applyBorder="1" applyAlignment="1">
      <alignment vertical="center"/>
    </xf>
    <xf numFmtId="173" fontId="5" fillId="0" borderId="38" xfId="0" applyNumberFormat="1" applyFont="1" applyFill="1" applyBorder="1" applyAlignment="1">
      <alignment horizontal="center" vertical="center" wrapText="1"/>
    </xf>
    <xf numFmtId="173" fontId="5" fillId="0" borderId="20" xfId="0" applyNumberFormat="1" applyFont="1" applyFill="1" applyBorder="1" applyAlignment="1">
      <alignment horizontal="center" vertical="center"/>
    </xf>
    <xf numFmtId="173" fontId="5" fillId="0" borderId="10" xfId="0" applyNumberFormat="1" applyFont="1" applyFill="1" applyBorder="1" applyAlignment="1">
      <alignment horizontal="center" vertical="center" wrapText="1"/>
    </xf>
    <xf numFmtId="0" fontId="6" fillId="0" borderId="44" xfId="0" applyFont="1" applyBorder="1" applyAlignment="1">
      <alignment vertical="center"/>
    </xf>
    <xf numFmtId="174" fontId="6" fillId="0" borderId="63" xfId="0" applyNumberFormat="1" applyFon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165" fontId="0" fillId="0" borderId="0" xfId="0" applyNumberFormat="1"/>
    <xf numFmtId="173" fontId="0" fillId="0" borderId="37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3" fontId="15" fillId="0" borderId="37" xfId="0" applyNumberFormat="1" applyFon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25" xfId="0" applyNumberFormat="1" applyFill="1" applyBorder="1" applyAlignment="1">
      <alignment horizontal="center"/>
    </xf>
    <xf numFmtId="2" fontId="0" fillId="2" borderId="49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71" fontId="5" fillId="0" borderId="43" xfId="0" applyNumberFormat="1" applyFont="1" applyBorder="1" applyAlignment="1">
      <alignment vertical="center"/>
    </xf>
    <xf numFmtId="171" fontId="5" fillId="0" borderId="11" xfId="0" applyNumberFormat="1" applyFont="1" applyBorder="1" applyAlignment="1">
      <alignment vertical="center"/>
    </xf>
    <xf numFmtId="171" fontId="5" fillId="0" borderId="37" xfId="0" applyNumberFormat="1" applyFont="1" applyBorder="1" applyAlignment="1">
      <alignment vertical="center"/>
    </xf>
    <xf numFmtId="171" fontId="5" fillId="0" borderId="1" xfId="0" applyNumberFormat="1" applyFont="1" applyBorder="1" applyAlignment="1">
      <alignment vertical="center"/>
    </xf>
    <xf numFmtId="171" fontId="6" fillId="0" borderId="11" xfId="0" applyNumberFormat="1" applyFont="1" applyFill="1" applyBorder="1" applyAlignment="1">
      <alignment vertical="center"/>
    </xf>
    <xf numFmtId="171" fontId="6" fillId="0" borderId="2" xfId="0" applyNumberFormat="1" applyFont="1" applyFill="1" applyBorder="1" applyAlignment="1">
      <alignment vertical="center"/>
    </xf>
    <xf numFmtId="171" fontId="6" fillId="0" borderId="37" xfId="0" applyNumberFormat="1" applyFont="1" applyFill="1" applyBorder="1" applyAlignment="1">
      <alignment vertical="center"/>
    </xf>
    <xf numFmtId="171" fontId="6" fillId="0" borderId="1" xfId="0" applyNumberFormat="1" applyFont="1" applyFill="1" applyBorder="1" applyAlignment="1">
      <alignment vertical="center"/>
    </xf>
    <xf numFmtId="171" fontId="6" fillId="0" borderId="28" xfId="0" applyNumberFormat="1" applyFont="1" applyFill="1" applyBorder="1" applyAlignment="1">
      <alignment vertical="center"/>
    </xf>
    <xf numFmtId="171" fontId="6" fillId="0" borderId="27" xfId="0" applyNumberFormat="1" applyFont="1" applyFill="1" applyBorder="1" applyAlignment="1">
      <alignment vertical="center"/>
    </xf>
    <xf numFmtId="171" fontId="6" fillId="0" borderId="39" xfId="0" applyNumberFormat="1" applyFont="1" applyFill="1" applyBorder="1" applyAlignment="1">
      <alignment vertical="center"/>
    </xf>
    <xf numFmtId="171" fontId="6" fillId="0" borderId="33" xfId="0" applyNumberFormat="1" applyFont="1" applyFill="1" applyBorder="1" applyAlignment="1">
      <alignment vertical="center"/>
    </xf>
    <xf numFmtId="171" fontId="6" fillId="0" borderId="62" xfId="0" applyNumberFormat="1" applyFont="1" applyFill="1" applyBorder="1" applyAlignment="1">
      <alignment vertical="center"/>
    </xf>
    <xf numFmtId="171" fontId="6" fillId="0" borderId="56" xfId="0" applyNumberFormat="1" applyFont="1" applyFill="1" applyBorder="1" applyAlignment="1">
      <alignment vertical="center"/>
    </xf>
    <xf numFmtId="171" fontId="6" fillId="0" borderId="53" xfId="0" applyNumberFormat="1" applyFont="1" applyFill="1" applyBorder="1" applyAlignment="1">
      <alignment vertical="center"/>
    </xf>
    <xf numFmtId="171" fontId="6" fillId="0" borderId="57" xfId="0" applyNumberFormat="1" applyFont="1" applyFill="1" applyBorder="1" applyAlignment="1">
      <alignment vertical="center"/>
    </xf>
    <xf numFmtId="171" fontId="6" fillId="0" borderId="25" xfId="0" applyNumberFormat="1" applyFont="1" applyFill="1" applyBorder="1" applyAlignment="1">
      <alignment vertical="center"/>
    </xf>
    <xf numFmtId="171" fontId="6" fillId="0" borderId="6" xfId="0" applyNumberFormat="1" applyFont="1" applyFill="1" applyBorder="1" applyAlignment="1">
      <alignment vertical="center"/>
    </xf>
    <xf numFmtId="171" fontId="5" fillId="0" borderId="11" xfId="0" applyNumberFormat="1" applyFont="1" applyFill="1" applyBorder="1" applyAlignment="1">
      <alignment vertical="center"/>
    </xf>
    <xf numFmtId="171" fontId="5" fillId="0" borderId="2" xfId="0" applyNumberFormat="1" applyFont="1" applyFill="1" applyBorder="1" applyAlignment="1">
      <alignment vertical="center"/>
    </xf>
    <xf numFmtId="171" fontId="5" fillId="0" borderId="37" xfId="0" applyNumberFormat="1" applyFont="1" applyFill="1" applyBorder="1" applyAlignment="1">
      <alignment vertical="center"/>
    </xf>
    <xf numFmtId="171" fontId="5" fillId="0" borderId="17" xfId="0" applyNumberFormat="1" applyFont="1" applyFill="1" applyBorder="1" applyAlignment="1">
      <alignment vertical="center"/>
    </xf>
    <xf numFmtId="171" fontId="5" fillId="0" borderId="14" xfId="0" applyNumberFormat="1" applyFont="1" applyFill="1" applyBorder="1" applyAlignment="1">
      <alignment vertical="center"/>
    </xf>
    <xf numFmtId="171" fontId="5" fillId="0" borderId="40" xfId="0" applyNumberFormat="1" applyFont="1" applyFill="1" applyBorder="1" applyAlignment="1">
      <alignment vertical="center"/>
    </xf>
    <xf numFmtId="171" fontId="6" fillId="0" borderId="5" xfId="0" applyNumberFormat="1" applyFont="1" applyBorder="1" applyAlignment="1">
      <alignment vertical="center"/>
    </xf>
    <xf numFmtId="171" fontId="6" fillId="0" borderId="38" xfId="0" applyNumberFormat="1" applyFont="1" applyBorder="1" applyAlignment="1">
      <alignment vertical="center"/>
    </xf>
    <xf numFmtId="171" fontId="6" fillId="0" borderId="7" xfId="0" applyNumberFormat="1" applyFont="1" applyFill="1" applyBorder="1" applyAlignment="1">
      <alignment vertical="center"/>
    </xf>
    <xf numFmtId="171" fontId="6" fillId="0" borderId="5" xfId="0" applyNumberFormat="1" applyFont="1" applyFill="1" applyBorder="1" applyAlignment="1">
      <alignment vertical="center"/>
    </xf>
    <xf numFmtId="171" fontId="6" fillId="0" borderId="38" xfId="0" applyNumberFormat="1" applyFont="1" applyFill="1" applyBorder="1" applyAlignment="1">
      <alignment vertical="center"/>
    </xf>
    <xf numFmtId="171" fontId="5" fillId="0" borderId="6" xfId="0" applyNumberFormat="1" applyFont="1" applyFill="1" applyBorder="1" applyAlignment="1">
      <alignment vertical="center"/>
    </xf>
    <xf numFmtId="171" fontId="6" fillId="0" borderId="26" xfId="0" applyNumberFormat="1" applyFont="1" applyFill="1" applyBorder="1" applyAlignment="1">
      <alignment vertical="center"/>
    </xf>
    <xf numFmtId="171" fontId="5" fillId="0" borderId="24" xfId="0" applyNumberFormat="1" applyFont="1" applyFill="1" applyBorder="1" applyAlignment="1">
      <alignment vertical="center"/>
    </xf>
    <xf numFmtId="171" fontId="6" fillId="0" borderId="10" xfId="0" applyNumberFormat="1" applyFont="1" applyBorder="1" applyAlignment="1">
      <alignment vertical="center"/>
    </xf>
    <xf numFmtId="164" fontId="6" fillId="0" borderId="29" xfId="0" applyNumberFormat="1" applyFont="1" applyFill="1" applyBorder="1" applyAlignment="1">
      <alignment vertical="center"/>
    </xf>
    <xf numFmtId="164" fontId="6" fillId="0" borderId="59" xfId="0" applyNumberFormat="1" applyFont="1" applyFill="1" applyBorder="1" applyAlignment="1">
      <alignment vertical="center"/>
    </xf>
    <xf numFmtId="164" fontId="6" fillId="0" borderId="50" xfId="0" applyNumberFormat="1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vertical="center"/>
    </xf>
    <xf numFmtId="164" fontId="6" fillId="0" borderId="31" xfId="0" applyNumberFormat="1" applyFont="1" applyFill="1" applyBorder="1" applyAlignment="1">
      <alignment vertical="center"/>
    </xf>
    <xf numFmtId="164" fontId="6" fillId="0" borderId="60" xfId="0" applyNumberFormat="1" applyFont="1" applyFill="1" applyBorder="1" applyAlignment="1">
      <alignment vertical="center"/>
    </xf>
    <xf numFmtId="164" fontId="6" fillId="0" borderId="52" xfId="0" applyNumberFormat="1" applyFont="1" applyFill="1" applyBorder="1" applyAlignment="1">
      <alignment vertical="center"/>
    </xf>
    <xf numFmtId="164" fontId="6" fillId="0" borderId="32" xfId="0" applyNumberFormat="1" applyFont="1" applyFill="1" applyBorder="1" applyAlignment="1">
      <alignment vertical="center"/>
    </xf>
    <xf numFmtId="164" fontId="6" fillId="0" borderId="61" xfId="0" applyNumberFormat="1" applyFont="1" applyFill="1" applyBorder="1" applyAlignment="1">
      <alignment vertical="center"/>
    </xf>
    <xf numFmtId="164" fontId="6" fillId="0" borderId="51" xfId="0" applyNumberFormat="1" applyFont="1" applyFill="1" applyBorder="1" applyAlignment="1">
      <alignment vertical="center"/>
    </xf>
    <xf numFmtId="164" fontId="6" fillId="0" borderId="30" xfId="0" applyNumberFormat="1" applyFont="1" applyFill="1" applyBorder="1" applyAlignment="1">
      <alignment vertical="center"/>
    </xf>
    <xf numFmtId="164" fontId="6" fillId="0" borderId="43" xfId="0" applyNumberFormat="1" applyFont="1" applyFill="1" applyBorder="1" applyAlignment="1">
      <alignment vertical="center"/>
    </xf>
    <xf numFmtId="164" fontId="6" fillId="0" borderId="44" xfId="0" applyNumberFormat="1" applyFont="1" applyFill="1" applyBorder="1" applyAlignment="1">
      <alignment vertical="center"/>
    </xf>
    <xf numFmtId="171" fontId="5" fillId="0" borderId="8" xfId="0" applyNumberFormat="1" applyFont="1" applyFill="1" applyBorder="1" applyAlignment="1">
      <alignment vertical="center"/>
    </xf>
    <xf numFmtId="171" fontId="5" fillId="0" borderId="25" xfId="0" applyNumberFormat="1" applyFont="1" applyFill="1" applyBorder="1" applyAlignment="1">
      <alignment vertical="center"/>
    </xf>
    <xf numFmtId="171" fontId="5" fillId="0" borderId="41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164" fontId="6" fillId="0" borderId="38" xfId="0" applyNumberFormat="1" applyFont="1" applyFill="1" applyBorder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164" fontId="6" fillId="0" borderId="37" xfId="0" applyNumberFormat="1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37" xfId="0" applyNumberFormat="1" applyFont="1" applyFill="1" applyBorder="1" applyAlignment="1">
      <alignment vertical="center"/>
    </xf>
    <xf numFmtId="164" fontId="5" fillId="0" borderId="8" xfId="0" applyNumberFormat="1" applyFont="1" applyFill="1" applyBorder="1" applyAlignment="1">
      <alignment vertical="center"/>
    </xf>
    <xf numFmtId="164" fontId="5" fillId="0" borderId="25" xfId="0" applyNumberFormat="1" applyFont="1" applyFill="1" applyBorder="1" applyAlignment="1">
      <alignment vertical="center"/>
    </xf>
    <xf numFmtId="164" fontId="5" fillId="0" borderId="41" xfId="0" applyNumberFormat="1" applyFont="1" applyFill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38" xfId="0" applyNumberFormat="1" applyFont="1" applyBorder="1" applyAlignment="1">
      <alignment vertical="center"/>
    </xf>
    <xf numFmtId="164" fontId="6" fillId="0" borderId="55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37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37" xfId="0" applyNumberFormat="1" applyFont="1" applyBorder="1" applyAlignment="1">
      <alignment vertical="center"/>
    </xf>
    <xf numFmtId="164" fontId="6" fillId="0" borderId="36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25" xfId="0" applyNumberFormat="1" applyFont="1" applyBorder="1" applyAlignment="1">
      <alignment vertical="center"/>
    </xf>
    <xf numFmtId="174" fontId="6" fillId="0" borderId="19" xfId="0" applyNumberFormat="1" applyFont="1" applyBorder="1" applyAlignment="1">
      <alignment horizontal="center" vertical="center"/>
    </xf>
    <xf numFmtId="174" fontId="6" fillId="0" borderId="4" xfId="0" applyNumberFormat="1" applyFont="1" applyBorder="1" applyAlignment="1">
      <alignment horizontal="center" vertical="center"/>
    </xf>
    <xf numFmtId="174" fontId="6" fillId="0" borderId="64" xfId="0" applyNumberFormat="1" applyFont="1" applyBorder="1" applyAlignment="1">
      <alignment horizontal="center" vertical="center"/>
    </xf>
    <xf numFmtId="174" fontId="6" fillId="0" borderId="56" xfId="0" applyNumberFormat="1" applyFont="1" applyBorder="1" applyAlignment="1">
      <alignment horizontal="center" vertical="center"/>
    </xf>
    <xf numFmtId="174" fontId="6" fillId="0" borderId="64" xfId="0" applyNumberFormat="1" applyFont="1" applyFill="1" applyBorder="1" applyAlignment="1">
      <alignment horizontal="center" vertical="center"/>
    </xf>
    <xf numFmtId="174" fontId="6" fillId="0" borderId="6" xfId="0" applyNumberFormat="1" applyFont="1" applyFill="1" applyBorder="1" applyAlignment="1">
      <alignment horizontal="center" vertical="center"/>
    </xf>
    <xf numFmtId="174" fontId="6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2"/>
    </xf>
    <xf numFmtId="174" fontId="6" fillId="0" borderId="65" xfId="0" applyNumberFormat="1" applyFont="1" applyBorder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174" fontId="6" fillId="0" borderId="28" xfId="0" applyNumberFormat="1" applyFont="1" applyBorder="1" applyAlignment="1">
      <alignment horizontal="center" vertical="center"/>
    </xf>
    <xf numFmtId="174" fontId="6" fillId="0" borderId="39" xfId="0" applyNumberFormat="1" applyFont="1" applyBorder="1" applyAlignment="1">
      <alignment horizontal="center" vertical="center"/>
    </xf>
    <xf numFmtId="174" fontId="6" fillId="0" borderId="66" xfId="0" applyNumberFormat="1" applyFont="1" applyBorder="1" applyAlignment="1">
      <alignment horizontal="center" vertical="center"/>
    </xf>
    <xf numFmtId="174" fontId="5" fillId="0" borderId="14" xfId="0" applyNumberFormat="1" applyFont="1" applyFill="1" applyBorder="1" applyAlignment="1">
      <alignment horizontal="center" vertical="center"/>
    </xf>
    <xf numFmtId="174" fontId="5" fillId="0" borderId="67" xfId="0" applyNumberFormat="1" applyFont="1" applyFill="1" applyBorder="1" applyAlignment="1">
      <alignment horizontal="center" vertical="center"/>
    </xf>
    <xf numFmtId="174" fontId="6" fillId="0" borderId="2" xfId="0" applyNumberFormat="1" applyFont="1" applyFill="1" applyBorder="1" applyAlignment="1">
      <alignment horizontal="center" vertical="center"/>
    </xf>
    <xf numFmtId="174" fontId="6" fillId="0" borderId="37" xfId="0" applyNumberFormat="1" applyFont="1" applyFill="1" applyBorder="1" applyAlignment="1">
      <alignment horizontal="center" vertical="center"/>
    </xf>
    <xf numFmtId="174" fontId="6" fillId="0" borderId="58" xfId="0" applyNumberFormat="1" applyFont="1" applyFill="1" applyBorder="1" applyAlignment="1">
      <alignment horizontal="center" vertical="center"/>
    </xf>
    <xf numFmtId="174" fontId="6" fillId="0" borderId="11" xfId="0" applyNumberFormat="1" applyFont="1" applyFill="1" applyBorder="1" applyAlignment="1">
      <alignment horizontal="center" vertical="center"/>
    </xf>
    <xf numFmtId="171" fontId="6" fillId="0" borderId="30" xfId="0" applyNumberFormat="1" applyFont="1" applyFill="1" applyBorder="1" applyAlignment="1">
      <alignment vertical="center"/>
    </xf>
    <xf numFmtId="173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165" fontId="17" fillId="0" borderId="11" xfId="0" applyNumberFormat="1" applyFont="1" applyBorder="1"/>
    <xf numFmtId="4" fontId="6" fillId="0" borderId="0" xfId="0" applyNumberFormat="1" applyFont="1" applyAlignment="1">
      <alignment vertical="center"/>
    </xf>
    <xf numFmtId="174" fontId="6" fillId="0" borderId="1" xfId="0" applyNumberFormat="1" applyFont="1" applyFill="1" applyBorder="1" applyAlignment="1">
      <alignment horizontal="center" vertical="center"/>
    </xf>
    <xf numFmtId="174" fontId="5" fillId="0" borderId="21" xfId="0" applyNumberFormat="1" applyFont="1" applyFill="1" applyBorder="1" applyAlignment="1">
      <alignment horizontal="center" vertical="center"/>
    </xf>
    <xf numFmtId="174" fontId="6" fillId="0" borderId="68" xfId="0" applyNumberFormat="1" applyFont="1" applyBorder="1" applyAlignment="1">
      <alignment horizontal="center" vertical="center"/>
    </xf>
    <xf numFmtId="174" fontId="5" fillId="0" borderId="63" xfId="0" applyNumberFormat="1" applyFont="1" applyBorder="1" applyAlignment="1">
      <alignment horizontal="center" vertical="center"/>
    </xf>
    <xf numFmtId="173" fontId="15" fillId="0" borderId="69" xfId="0" applyNumberFormat="1" applyFont="1" applyBorder="1" applyAlignment="1">
      <alignment horizontal="center" vertical="center"/>
    </xf>
    <xf numFmtId="173" fontId="15" fillId="0" borderId="11" xfId="0" applyNumberFormat="1" applyFont="1" applyBorder="1" applyAlignment="1">
      <alignment horizontal="center" vertical="center"/>
    </xf>
    <xf numFmtId="173" fontId="6" fillId="0" borderId="64" xfId="0" applyNumberFormat="1" applyFont="1" applyBorder="1" applyAlignment="1">
      <alignment vertical="center"/>
    </xf>
    <xf numFmtId="171" fontId="6" fillId="0" borderId="64" xfId="0" applyNumberFormat="1" applyFont="1" applyFill="1" applyBorder="1" applyAlignment="1">
      <alignment vertical="center"/>
    </xf>
    <xf numFmtId="171" fontId="5" fillId="0" borderId="48" xfId="0" applyNumberFormat="1" applyFont="1" applyBorder="1" applyAlignment="1">
      <alignment vertical="center"/>
    </xf>
    <xf numFmtId="174" fontId="5" fillId="0" borderId="40" xfId="0" applyNumberFormat="1" applyFont="1" applyFill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173" fontId="5" fillId="0" borderId="51" xfId="0" applyNumberFormat="1" applyFont="1" applyBorder="1" applyAlignment="1">
      <alignment vertical="center"/>
    </xf>
    <xf numFmtId="171" fontId="6" fillId="0" borderId="70" xfId="0" applyNumberFormat="1" applyFont="1" applyFill="1" applyBorder="1" applyAlignment="1">
      <alignment vertical="center"/>
    </xf>
    <xf numFmtId="165" fontId="20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5" fontId="21" fillId="0" borderId="21" xfId="0" applyNumberFormat="1" applyFont="1" applyBorder="1" applyAlignment="1">
      <alignment horizontal="center" vertical="center"/>
    </xf>
    <xf numFmtId="166" fontId="18" fillId="0" borderId="37" xfId="0" applyNumberFormat="1" applyFont="1" applyBorder="1" applyAlignment="1">
      <alignment horizontal="center"/>
    </xf>
    <xf numFmtId="173" fontId="0" fillId="0" borderId="58" xfId="0" applyNumberFormat="1" applyBorder="1" applyAlignment="1">
      <alignment horizontal="center" vertical="center"/>
    </xf>
    <xf numFmtId="173" fontId="5" fillId="0" borderId="48" xfId="0" applyNumberFormat="1" applyFont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3" fontId="6" fillId="0" borderId="58" xfId="0" applyNumberFormat="1" applyFont="1" applyBorder="1" applyAlignment="1">
      <alignment vertical="center"/>
    </xf>
    <xf numFmtId="4" fontId="0" fillId="0" borderId="35" xfId="0" applyNumberFormat="1" applyBorder="1"/>
    <xf numFmtId="0" fontId="6" fillId="0" borderId="35" xfId="0" applyFont="1" applyBorder="1" applyAlignment="1">
      <alignment vertical="center"/>
    </xf>
    <xf numFmtId="3" fontId="6" fillId="0" borderId="5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7" fontId="4" fillId="7" borderId="71" xfId="0" applyNumberFormat="1" applyFont="1" applyFill="1" applyBorder="1" applyAlignment="1" applyProtection="1">
      <alignment horizontal="center" vertical="center"/>
    </xf>
    <xf numFmtId="17" fontId="4" fillId="7" borderId="69" xfId="0" applyNumberFormat="1" applyFont="1" applyFill="1" applyBorder="1" applyAlignment="1" applyProtection="1">
      <alignment horizontal="center" vertical="center"/>
    </xf>
    <xf numFmtId="17" fontId="4" fillId="7" borderId="72" xfId="0" applyNumberFormat="1" applyFont="1" applyFill="1" applyBorder="1" applyAlignment="1" applyProtection="1">
      <alignment horizontal="center" vertical="center"/>
    </xf>
    <xf numFmtId="15" fontId="4" fillId="7" borderId="49" xfId="0" applyNumberFormat="1" applyFont="1" applyFill="1" applyBorder="1" applyAlignment="1" applyProtection="1">
      <alignment horizontal="center" vertical="center"/>
    </xf>
    <xf numFmtId="17" fontId="4" fillId="7" borderId="42" xfId="0" applyNumberFormat="1" applyFont="1" applyFill="1" applyBorder="1" applyAlignment="1" applyProtection="1">
      <alignment horizontal="center" vertical="center"/>
    </xf>
    <xf numFmtId="17" fontId="4" fillId="7" borderId="43" xfId="0" applyNumberFormat="1" applyFont="1" applyFill="1" applyBorder="1" applyAlignment="1" applyProtection="1">
      <alignment horizontal="center" vertical="center"/>
    </xf>
    <xf numFmtId="17" fontId="4" fillId="7" borderId="48" xfId="0" applyNumberFormat="1" applyFont="1" applyFill="1" applyBorder="1" applyAlignment="1" applyProtection="1">
      <alignment horizontal="center" vertical="center"/>
    </xf>
    <xf numFmtId="17" fontId="4" fillId="7" borderId="44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9" fillId="7" borderId="8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0" fontId="8" fillId="4" borderId="25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166" fontId="18" fillId="0" borderId="2" xfId="0" applyNumberFormat="1" applyFont="1" applyBorder="1" applyAlignment="1">
      <alignment horizontal="center"/>
    </xf>
    <xf numFmtId="168" fontId="2" fillId="0" borderId="0" xfId="0" applyNumberFormat="1" applyFont="1" applyAlignment="1">
      <alignment vertical="center"/>
    </xf>
    <xf numFmtId="174" fontId="5" fillId="0" borderId="54" xfId="0" applyNumberFormat="1" applyFont="1" applyFill="1" applyBorder="1" applyAlignment="1">
      <alignment horizontal="center" vertical="center"/>
    </xf>
    <xf numFmtId="174" fontId="5" fillId="0" borderId="13" xfId="0" applyNumberFormat="1" applyFont="1" applyFill="1" applyBorder="1" applyAlignment="1">
      <alignment horizontal="center" vertical="center"/>
    </xf>
    <xf numFmtId="174" fontId="5" fillId="0" borderId="1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3" fontId="6" fillId="0" borderId="70" xfId="0" applyNumberFormat="1" applyFont="1" applyBorder="1" applyAlignment="1">
      <alignment vertical="center"/>
    </xf>
    <xf numFmtId="3" fontId="6" fillId="0" borderId="68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8" borderId="42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3" fillId="7" borderId="71" xfId="0" applyFont="1" applyFill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7" borderId="7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1" fontId="3" fillId="8" borderId="23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" fontId="4" fillId="9" borderId="71" xfId="0" applyNumberFormat="1" applyFont="1" applyFill="1" applyBorder="1" applyAlignment="1" applyProtection="1">
      <alignment horizontal="center" vertical="center"/>
    </xf>
    <xf numFmtId="2" fontId="0" fillId="9" borderId="7" xfId="0" applyNumberFormat="1" applyFill="1" applyBorder="1" applyAlignment="1">
      <alignment horizontal="center" vertical="center"/>
    </xf>
    <xf numFmtId="2" fontId="0" fillId="9" borderId="5" xfId="0" applyNumberFormat="1" applyFill="1" applyBorder="1" applyAlignment="1">
      <alignment horizontal="center" vertical="center"/>
    </xf>
    <xf numFmtId="2" fontId="0" fillId="9" borderId="20" xfId="0" applyNumberFormat="1" applyFill="1" applyBorder="1" applyAlignment="1">
      <alignment horizontal="center" vertical="center"/>
    </xf>
    <xf numFmtId="17" fontId="4" fillId="9" borderId="69" xfId="0" applyNumberFormat="1" applyFont="1" applyFill="1" applyBorder="1" applyAlignment="1" applyProtection="1">
      <alignment horizontal="center" vertical="center"/>
    </xf>
    <xf numFmtId="2" fontId="0" fillId="9" borderId="6" xfId="0" applyNumberFormat="1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17" fontId="4" fillId="9" borderId="72" xfId="0" applyNumberFormat="1" applyFont="1" applyFill="1" applyBorder="1" applyAlignment="1" applyProtection="1">
      <alignment horizontal="center" vertical="center"/>
    </xf>
    <xf numFmtId="2" fontId="0" fillId="9" borderId="8" xfId="0" applyNumberFormat="1" applyFill="1" applyBorder="1" applyAlignment="1">
      <alignment horizontal="center" vertical="center"/>
    </xf>
    <xf numFmtId="2" fontId="0" fillId="9" borderId="25" xfId="0" applyNumberFormat="1" applyFill="1" applyBorder="1" applyAlignment="1">
      <alignment horizontal="center" vertical="center"/>
    </xf>
    <xf numFmtId="2" fontId="0" fillId="9" borderId="9" xfId="0" applyNumberFormat="1" applyFill="1" applyBorder="1" applyAlignment="1">
      <alignment horizontal="center" vertical="center"/>
    </xf>
    <xf numFmtId="15" fontId="4" fillId="9" borderId="49" xfId="0" applyNumberFormat="1" applyFont="1" applyFill="1" applyBorder="1" applyAlignment="1" applyProtection="1">
      <alignment horizontal="center" vertical="center"/>
    </xf>
    <xf numFmtId="2" fontId="0" fillId="9" borderId="24" xfId="0" applyNumberFormat="1" applyFill="1" applyBorder="1" applyAlignment="1">
      <alignment horizontal="center" vertical="center"/>
    </xf>
    <xf numFmtId="2" fontId="0" fillId="9" borderId="14" xfId="0" applyNumberFormat="1" applyFill="1" applyBorder="1" applyAlignment="1">
      <alignment horizontal="center" vertical="center"/>
    </xf>
    <xf numFmtId="2" fontId="0" fillId="9" borderId="21" xfId="0" applyNumberFormat="1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17" fontId="0" fillId="7" borderId="69" xfId="0" applyNumberFormat="1" applyFill="1" applyBorder="1" applyAlignment="1">
      <alignment horizontal="center" vertical="center"/>
    </xf>
    <xf numFmtId="17" fontId="15" fillId="7" borderId="69" xfId="0" applyNumberFormat="1" applyFont="1" applyFill="1" applyBorder="1" applyAlignment="1">
      <alignment horizontal="center" vertical="center"/>
    </xf>
    <xf numFmtId="17" fontId="0" fillId="7" borderId="72" xfId="0" applyNumberForma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8" borderId="49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75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6" fillId="7" borderId="76" xfId="0" applyFont="1" applyFill="1" applyBorder="1" applyAlignment="1">
      <alignment vertical="center"/>
    </xf>
    <xf numFmtId="0" fontId="6" fillId="7" borderId="69" xfId="0" applyFont="1" applyFill="1" applyBorder="1" applyAlignment="1">
      <alignment vertical="center"/>
    </xf>
    <xf numFmtId="0" fontId="5" fillId="7" borderId="69" xfId="0" applyFont="1" applyFill="1" applyBorder="1" applyAlignment="1">
      <alignment vertical="center"/>
    </xf>
    <xf numFmtId="0" fontId="5" fillId="7" borderId="77" xfId="0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0" fontId="6" fillId="7" borderId="71" xfId="0" applyFont="1" applyFill="1" applyBorder="1" applyAlignment="1">
      <alignment vertical="center"/>
    </xf>
    <xf numFmtId="0" fontId="6" fillId="7" borderId="72" xfId="0" applyFont="1" applyFill="1" applyBorder="1" applyAlignment="1">
      <alignment vertical="center"/>
    </xf>
    <xf numFmtId="0" fontId="5" fillId="7" borderId="49" xfId="0" applyFont="1" applyFill="1" applyBorder="1" applyAlignment="1">
      <alignment horizontal="center" vertical="center"/>
    </xf>
    <xf numFmtId="0" fontId="5" fillId="8" borderId="73" xfId="0" applyFont="1" applyFill="1" applyBorder="1" applyAlignment="1">
      <alignment horizontal="center" vertical="center"/>
    </xf>
    <xf numFmtId="0" fontId="5" fillId="8" borderId="7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vertical="center"/>
    </xf>
    <xf numFmtId="0" fontId="5" fillId="7" borderId="43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left" vertical="center"/>
    </xf>
    <xf numFmtId="0" fontId="5" fillId="7" borderId="44" xfId="0" applyFont="1" applyFill="1" applyBorder="1" applyAlignment="1">
      <alignment horizontal="left" vertical="center"/>
    </xf>
    <xf numFmtId="0" fontId="6" fillId="7" borderId="42" xfId="0" applyFont="1" applyFill="1" applyBorder="1" applyAlignment="1">
      <alignment vertical="center"/>
    </xf>
    <xf numFmtId="0" fontId="6" fillId="7" borderId="43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vertical="center"/>
    </xf>
    <xf numFmtId="0" fontId="6" fillId="7" borderId="51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vertical="center"/>
    </xf>
    <xf numFmtId="0" fontId="6" fillId="7" borderId="69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7" borderId="77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13" fillId="8" borderId="55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vertical="center"/>
    </xf>
    <xf numFmtId="0" fontId="5" fillId="8" borderId="68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72" xfId="0" applyFont="1" applyFill="1" applyBorder="1" applyAlignment="1">
      <alignment horizontal="center" vertical="center"/>
    </xf>
    <xf numFmtId="0" fontId="5" fillId="8" borderId="66" xfId="0" applyFont="1" applyFill="1" applyBorder="1" applyAlignment="1">
      <alignment horizontal="center" vertical="center"/>
    </xf>
    <xf numFmtId="0" fontId="5" fillId="8" borderId="77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6" fillId="7" borderId="77" xfId="0" applyFont="1" applyFill="1" applyBorder="1" applyAlignment="1">
      <alignment vertical="center"/>
    </xf>
    <xf numFmtId="0" fontId="5" fillId="7" borderId="49" xfId="0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 wrapText="1"/>
    </xf>
    <xf numFmtId="0" fontId="5" fillId="7" borderId="71" xfId="0" applyFont="1" applyFill="1" applyBorder="1" applyAlignment="1">
      <alignment vertical="center"/>
    </xf>
    <xf numFmtId="0" fontId="5" fillId="7" borderId="72" xfId="0" applyFont="1" applyFill="1" applyBorder="1" applyAlignment="1">
      <alignment vertical="center"/>
    </xf>
    <xf numFmtId="0" fontId="5" fillId="7" borderId="78" xfId="0" applyFont="1" applyFill="1" applyBorder="1" applyAlignment="1">
      <alignment vertical="center"/>
    </xf>
    <xf numFmtId="0" fontId="5" fillId="7" borderId="52" xfId="0" applyFont="1" applyFill="1" applyBorder="1" applyAlignment="1">
      <alignment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vertical="center"/>
    </xf>
    <xf numFmtId="0" fontId="5" fillId="7" borderId="44" xfId="0" applyFont="1" applyFill="1" applyBorder="1" applyAlignment="1">
      <alignment vertical="center"/>
    </xf>
    <xf numFmtId="0" fontId="5" fillId="7" borderId="46" xfId="0" applyFont="1" applyFill="1" applyBorder="1" applyAlignment="1">
      <alignment vertical="center"/>
    </xf>
    <xf numFmtId="2" fontId="19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172" fontId="5" fillId="10" borderId="40" xfId="0" applyNumberFormat="1" applyFont="1" applyFill="1" applyBorder="1" applyAlignment="1">
      <alignment horizontal="center" vertical="center"/>
    </xf>
    <xf numFmtId="172" fontId="5" fillId="10" borderId="14" xfId="0" applyNumberFormat="1" applyFont="1" applyFill="1" applyBorder="1" applyAlignment="1">
      <alignment horizontal="center" vertical="center"/>
    </xf>
    <xf numFmtId="172" fontId="5" fillId="10" borderId="2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72" fontId="6" fillId="0" borderId="1" xfId="0" applyNumberFormat="1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/>
    </xf>
    <xf numFmtId="2" fontId="19" fillId="0" borderId="5" xfId="0" applyNumberFormat="1" applyFont="1" applyFill="1" applyBorder="1" applyAlignment="1">
      <alignment horizontal="center"/>
    </xf>
    <xf numFmtId="2" fontId="6" fillId="0" borderId="25" xfId="0" applyNumberFormat="1" applyFont="1" applyFill="1" applyBorder="1" applyAlignment="1">
      <alignment horizontal="center"/>
    </xf>
    <xf numFmtId="172" fontId="6" fillId="0" borderId="2" xfId="0" applyNumberFormat="1" applyFont="1" applyFill="1" applyBorder="1" applyAlignment="1">
      <alignment horizontal="center" vertical="center"/>
    </xf>
    <xf numFmtId="166" fontId="5" fillId="7" borderId="7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74" fontId="6" fillId="0" borderId="34" xfId="0" applyNumberFormat="1" applyFont="1" applyBorder="1" applyAlignment="1">
      <alignment horizontal="center" vertical="center"/>
    </xf>
    <xf numFmtId="174" fontId="6" fillId="0" borderId="79" xfId="0" applyNumberFormat="1" applyFont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67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vertical="center"/>
    </xf>
    <xf numFmtId="172" fontId="6" fillId="0" borderId="71" xfId="0" applyNumberFormat="1" applyFont="1" applyFill="1" applyBorder="1" applyAlignment="1">
      <alignment horizontal="center" vertical="center"/>
    </xf>
    <xf numFmtId="172" fontId="6" fillId="0" borderId="5" xfId="0" applyNumberFormat="1" applyFont="1" applyFill="1" applyBorder="1" applyAlignment="1">
      <alignment horizontal="center" vertical="center"/>
    </xf>
    <xf numFmtId="172" fontId="6" fillId="0" borderId="20" xfId="0" applyNumberFormat="1" applyFont="1" applyFill="1" applyBorder="1" applyAlignment="1">
      <alignment horizontal="center" vertical="center"/>
    </xf>
    <xf numFmtId="172" fontId="6" fillId="0" borderId="47" xfId="0" applyNumberFormat="1" applyFont="1" applyFill="1" applyBorder="1" applyAlignment="1">
      <alignment horizontal="center" vertical="center"/>
    </xf>
    <xf numFmtId="172" fontId="6" fillId="0" borderId="36" xfId="0" applyNumberFormat="1" applyFont="1" applyFill="1" applyBorder="1" applyAlignment="1">
      <alignment horizontal="center" vertical="center"/>
    </xf>
    <xf numFmtId="172" fontId="6" fillId="0" borderId="4" xfId="0" applyNumberFormat="1" applyFont="1" applyFill="1" applyBorder="1" applyAlignment="1">
      <alignment horizontal="center" vertical="center"/>
    </xf>
    <xf numFmtId="172" fontId="6" fillId="0" borderId="76" xfId="0" applyNumberFormat="1" applyFont="1" applyFill="1" applyBorder="1" applyAlignment="1">
      <alignment horizontal="center" vertical="center"/>
    </xf>
    <xf numFmtId="172" fontId="6" fillId="0" borderId="69" xfId="0" applyNumberFormat="1" applyFont="1" applyFill="1" applyBorder="1" applyAlignment="1">
      <alignment horizontal="center" vertical="center"/>
    </xf>
    <xf numFmtId="172" fontId="6" fillId="0" borderId="6" xfId="0" applyNumberFormat="1" applyFont="1" applyFill="1" applyBorder="1" applyAlignment="1">
      <alignment horizontal="center" vertical="center"/>
    </xf>
    <xf numFmtId="172" fontId="6" fillId="0" borderId="37" xfId="0" applyNumberFormat="1" applyFont="1" applyFill="1" applyBorder="1" applyAlignment="1">
      <alignment horizontal="center" vertical="center"/>
    </xf>
    <xf numFmtId="172" fontId="6" fillId="0" borderId="77" xfId="0" applyNumberFormat="1" applyFont="1" applyFill="1" applyBorder="1" applyAlignment="1">
      <alignment horizontal="center" vertical="center"/>
    </xf>
    <xf numFmtId="172" fontId="6" fillId="0" borderId="27" xfId="0" applyNumberFormat="1" applyFont="1" applyFill="1" applyBorder="1" applyAlignment="1">
      <alignment horizontal="center" vertical="center"/>
    </xf>
    <xf numFmtId="172" fontId="6" fillId="0" borderId="33" xfId="0" applyNumberFormat="1" applyFont="1" applyFill="1" applyBorder="1" applyAlignment="1">
      <alignment horizontal="center" vertical="center"/>
    </xf>
    <xf numFmtId="172" fontId="6" fillId="0" borderId="26" xfId="0" applyNumberFormat="1" applyFont="1" applyFill="1" applyBorder="1" applyAlignment="1">
      <alignment horizontal="center" vertical="center"/>
    </xf>
    <xf numFmtId="172" fontId="6" fillId="0" borderId="39" xfId="0" applyNumberFormat="1" applyFont="1" applyFill="1" applyBorder="1" applyAlignment="1">
      <alignment horizontal="center" vertical="center"/>
    </xf>
    <xf numFmtId="172" fontId="5" fillId="10" borderId="24" xfId="0" applyNumberFormat="1" applyFont="1" applyFill="1" applyBorder="1" applyAlignment="1">
      <alignment horizontal="center" vertical="center"/>
    </xf>
    <xf numFmtId="172" fontId="6" fillId="0" borderId="79" xfId="0" applyNumberFormat="1" applyFont="1" applyFill="1" applyBorder="1" applyAlignment="1">
      <alignment horizontal="center" vertical="center"/>
    </xf>
    <xf numFmtId="172" fontId="6" fillId="0" borderId="58" xfId="0" applyNumberFormat="1" applyFont="1" applyFill="1" applyBorder="1" applyAlignment="1">
      <alignment horizontal="center" vertical="center"/>
    </xf>
    <xf numFmtId="172" fontId="6" fillId="0" borderId="68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2" fontId="5" fillId="10" borderId="14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65" fontId="17" fillId="0" borderId="2" xfId="0" applyNumberFormat="1" applyFont="1" applyBorder="1"/>
    <xf numFmtId="0" fontId="0" fillId="0" borderId="74" xfId="0" applyBorder="1" applyAlignment="1">
      <alignment horizontal="center" vertical="center"/>
    </xf>
    <xf numFmtId="2" fontId="19" fillId="0" borderId="37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0" fontId="20" fillId="0" borderId="0" xfId="0" applyFont="1" applyAlignment="1">
      <alignment vertical="center"/>
    </xf>
    <xf numFmtId="171" fontId="20" fillId="0" borderId="33" xfId="0" applyNumberFormat="1" applyFont="1" applyBorder="1" applyAlignment="1">
      <alignment horizontal="center" vertical="center"/>
    </xf>
    <xf numFmtId="164" fontId="6" fillId="0" borderId="73" xfId="0" applyNumberFormat="1" applyFont="1" applyFill="1" applyBorder="1" applyAlignment="1">
      <alignment vertical="center"/>
    </xf>
    <xf numFmtId="164" fontId="5" fillId="0" borderId="58" xfId="0" applyNumberFormat="1" applyFont="1" applyFill="1" applyBorder="1" applyAlignment="1">
      <alignment vertical="center"/>
    </xf>
    <xf numFmtId="164" fontId="6" fillId="0" borderId="78" xfId="0" applyNumberFormat="1" applyFont="1" applyFill="1" applyBorder="1" applyAlignment="1">
      <alignment vertical="center"/>
    </xf>
    <xf numFmtId="164" fontId="6" fillId="0" borderId="35" xfId="0" applyNumberFormat="1" applyFont="1" applyFill="1" applyBorder="1" applyAlignment="1">
      <alignment vertical="center"/>
    </xf>
    <xf numFmtId="164" fontId="6" fillId="0" borderId="58" xfId="0" applyNumberFormat="1" applyFont="1" applyFill="1" applyBorder="1" applyAlignment="1">
      <alignment vertical="center"/>
    </xf>
    <xf numFmtId="164" fontId="6" fillId="0" borderId="69" xfId="0" applyNumberFormat="1" applyFont="1" applyFill="1" applyBorder="1" applyAlignment="1">
      <alignment vertical="center"/>
    </xf>
    <xf numFmtId="164" fontId="6" fillId="0" borderId="72" xfId="0" applyNumberFormat="1" applyFont="1" applyFill="1" applyBorder="1" applyAlignment="1">
      <alignment vertical="center"/>
    </xf>
    <xf numFmtId="164" fontId="5" fillId="0" borderId="43" xfId="0" applyNumberFormat="1" applyFont="1" applyFill="1" applyBorder="1" applyAlignment="1">
      <alignment vertical="center"/>
    </xf>
    <xf numFmtId="0" fontId="22" fillId="8" borderId="0" xfId="0" applyFont="1" applyFill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/>
    </xf>
    <xf numFmtId="2" fontId="0" fillId="0" borderId="65" xfId="0" applyNumberFormat="1" applyBorder="1" applyAlignment="1">
      <alignment horizontal="center" vertical="center"/>
    </xf>
    <xf numFmtId="2" fontId="0" fillId="0" borderId="58" xfId="0" applyNumberFormat="1" applyBorder="1" applyAlignment="1">
      <alignment horizontal="center" vertical="center"/>
    </xf>
    <xf numFmtId="2" fontId="0" fillId="0" borderId="66" xfId="0" applyNumberFormat="1" applyBorder="1" applyAlignment="1">
      <alignment horizontal="center" vertical="center"/>
    </xf>
    <xf numFmtId="2" fontId="0" fillId="0" borderId="6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0" fontId="5" fillId="7" borderId="20" xfId="0" applyFont="1" applyFill="1" applyBorder="1" applyAlignment="1">
      <alignment horizontal="justify" vertical="justify"/>
    </xf>
    <xf numFmtId="0" fontId="5" fillId="7" borderId="49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63" xfId="0" applyFont="1" applyFill="1" applyBorder="1" applyAlignment="1">
      <alignment horizontal="center" vertical="center"/>
    </xf>
    <xf numFmtId="171" fontId="6" fillId="0" borderId="9" xfId="0" applyNumberFormat="1" applyFont="1" applyFill="1" applyBorder="1" applyAlignment="1">
      <alignment vertical="center"/>
    </xf>
    <xf numFmtId="173" fontId="6" fillId="0" borderId="2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horizontal="center"/>
    </xf>
    <xf numFmtId="0" fontId="3" fillId="7" borderId="77" xfId="0" applyFont="1" applyFill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0" fillId="0" borderId="70" xfId="0" applyNumberForma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0" fillId="0" borderId="6" xfId="0" applyNumberFormat="1" applyBorder="1"/>
    <xf numFmtId="3" fontId="0" fillId="0" borderId="2" xfId="0" applyNumberFormat="1" applyBorder="1"/>
    <xf numFmtId="3" fontId="0" fillId="0" borderId="6" xfId="0" applyNumberFormat="1" applyBorder="1" applyAlignment="1">
      <alignment horizontal="right" vertical="center"/>
    </xf>
    <xf numFmtId="2" fontId="0" fillId="2" borderId="71" xfId="0" applyNumberFormat="1" applyFill="1" applyBorder="1" applyAlignment="1">
      <alignment horizontal="center" vertical="center"/>
    </xf>
    <xf numFmtId="2" fontId="0" fillId="4" borderId="65" xfId="0" applyNumberFormat="1" applyFill="1" applyBorder="1" applyAlignment="1">
      <alignment horizontal="center" vertical="center"/>
    </xf>
    <xf numFmtId="2" fontId="0" fillId="2" borderId="69" xfId="0" applyNumberFormat="1" applyFill="1" applyBorder="1" applyAlignment="1">
      <alignment horizontal="center" vertical="center"/>
    </xf>
    <xf numFmtId="2" fontId="0" fillId="4" borderId="58" xfId="0" applyNumberFormat="1" applyFill="1" applyBorder="1" applyAlignment="1">
      <alignment horizontal="center" vertical="center"/>
    </xf>
    <xf numFmtId="0" fontId="24" fillId="7" borderId="69" xfId="0" applyFont="1" applyFill="1" applyBorder="1" applyAlignment="1">
      <alignment vertical="center"/>
    </xf>
    <xf numFmtId="0" fontId="23" fillId="7" borderId="72" xfId="0" applyFont="1" applyFill="1" applyBorder="1" applyAlignment="1">
      <alignment vertical="center"/>
    </xf>
    <xf numFmtId="0" fontId="24" fillId="7" borderId="49" xfId="0" applyFont="1" applyFill="1" applyBorder="1" applyAlignment="1">
      <alignment horizontal="center" vertical="center"/>
    </xf>
    <xf numFmtId="0" fontId="23" fillId="7" borderId="43" xfId="0" applyFont="1" applyFill="1" applyBorder="1"/>
    <xf numFmtId="0" fontId="23" fillId="7" borderId="43" xfId="0" applyFont="1" applyFill="1" applyBorder="1" applyAlignment="1">
      <alignment vertical="center"/>
    </xf>
    <xf numFmtId="0" fontId="5" fillId="8" borderId="55" xfId="0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vertical="center"/>
    </xf>
    <xf numFmtId="3" fontId="6" fillId="0" borderId="3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37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0" fontId="0" fillId="0" borderId="35" xfId="0" applyBorder="1"/>
    <xf numFmtId="173" fontId="6" fillId="0" borderId="25" xfId="0" applyNumberFormat="1" applyFont="1" applyBorder="1" applyAlignment="1">
      <alignment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173" fontId="6" fillId="0" borderId="37" xfId="0" applyNumberFormat="1" applyFont="1" applyFill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2" fontId="19" fillId="0" borderId="4" xfId="0" applyNumberFormat="1" applyFont="1" applyBorder="1" applyAlignment="1">
      <alignment horizontal="center"/>
    </xf>
    <xf numFmtId="177" fontId="0" fillId="0" borderId="0" xfId="0" applyNumberFormat="1" applyAlignment="1">
      <alignment vertical="center"/>
    </xf>
    <xf numFmtId="2" fontId="19" fillId="0" borderId="5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172" fontId="6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3" fillId="0" borderId="0" xfId="0" applyFont="1"/>
    <xf numFmtId="0" fontId="5" fillId="8" borderId="14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right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67" xfId="0" applyFont="1" applyFill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3" fontId="6" fillId="0" borderId="77" xfId="0" applyNumberFormat="1" applyFont="1" applyBorder="1" applyAlignment="1">
      <alignment vertical="center"/>
    </xf>
    <xf numFmtId="2" fontId="19" fillId="0" borderId="36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72" fontId="6" fillId="0" borderId="20" xfId="0" applyNumberFormat="1" applyFont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2" fontId="6" fillId="0" borderId="41" xfId="0" applyNumberFormat="1" applyFont="1" applyBorder="1" applyAlignment="1">
      <alignment horizontal="center"/>
    </xf>
    <xf numFmtId="3" fontId="27" fillId="0" borderId="2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vertical="center"/>
    </xf>
    <xf numFmtId="3" fontId="23" fillId="0" borderId="2" xfId="0" applyNumberFormat="1" applyFont="1" applyBorder="1"/>
    <xf numFmtId="3" fontId="23" fillId="0" borderId="37" xfId="0" applyNumberFormat="1" applyFont="1" applyBorder="1"/>
    <xf numFmtId="165" fontId="3" fillId="0" borderId="9" xfId="0" applyNumberFormat="1" applyFont="1" applyBorder="1" applyAlignment="1">
      <alignment horizontal="center"/>
    </xf>
    <xf numFmtId="3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3" fontId="6" fillId="0" borderId="8" xfId="0" applyNumberFormat="1" applyFont="1" applyBorder="1" applyAlignment="1">
      <alignment vertical="center"/>
    </xf>
    <xf numFmtId="171" fontId="6" fillId="0" borderId="77" xfId="0" applyNumberFormat="1" applyFont="1" applyFill="1" applyBorder="1" applyAlignment="1">
      <alignment vertical="center"/>
    </xf>
    <xf numFmtId="171" fontId="6" fillId="0" borderId="72" xfId="0" applyNumberFormat="1" applyFont="1" applyFill="1" applyBorder="1" applyAlignment="1">
      <alignment vertical="center"/>
    </xf>
    <xf numFmtId="0" fontId="5" fillId="8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7" borderId="46" xfId="0" applyNumberFormat="1" applyFont="1" applyFill="1" applyBorder="1" applyAlignment="1" applyProtection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3" fontId="27" fillId="0" borderId="37" xfId="0" applyNumberFormat="1" applyFont="1" applyBorder="1" applyAlignment="1">
      <alignment horizontal="right" vertical="center"/>
    </xf>
    <xf numFmtId="3" fontId="6" fillId="0" borderId="63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8" borderId="45" xfId="0" applyFont="1" applyFill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173" fontId="6" fillId="0" borderId="9" xfId="0" applyNumberFormat="1" applyFont="1" applyBorder="1" applyAlignment="1">
      <alignment vertical="center"/>
    </xf>
    <xf numFmtId="173" fontId="6" fillId="0" borderId="12" xfId="0" applyNumberFormat="1" applyFont="1" applyBorder="1" applyAlignment="1">
      <alignment vertical="center"/>
    </xf>
    <xf numFmtId="0" fontId="6" fillId="7" borderId="26" xfId="0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vertical="center"/>
    </xf>
    <xf numFmtId="171" fontId="6" fillId="0" borderId="69" xfId="0" applyNumberFormat="1" applyFont="1" applyFill="1" applyBorder="1" applyAlignment="1">
      <alignment vertical="center"/>
    </xf>
    <xf numFmtId="0" fontId="5" fillId="8" borderId="40" xfId="0" applyFont="1" applyFill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9" fillId="0" borderId="30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172" fontId="6" fillId="0" borderId="9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8" borderId="40" xfId="0" applyFont="1" applyFill="1" applyBorder="1" applyAlignment="1">
      <alignment horizontal="center" vertical="center"/>
    </xf>
    <xf numFmtId="178" fontId="0" fillId="0" borderId="0" xfId="0" applyNumberFormat="1"/>
    <xf numFmtId="166" fontId="0" fillId="0" borderId="0" xfId="0" applyNumberFormat="1"/>
    <xf numFmtId="174" fontId="6" fillId="0" borderId="0" xfId="0" applyNumberFormat="1" applyFont="1" applyBorder="1" applyAlignment="1">
      <alignment horizontal="center" vertical="center"/>
    </xf>
    <xf numFmtId="174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0" fontId="5" fillId="8" borderId="45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9" fontId="3" fillId="0" borderId="2" xfId="0" applyNumberFormat="1" applyFont="1" applyBorder="1"/>
    <xf numFmtId="165" fontId="17" fillId="0" borderId="1" xfId="0" applyNumberFormat="1" applyFont="1" applyBorder="1"/>
    <xf numFmtId="171" fontId="5" fillId="0" borderId="44" xfId="0" applyNumberFormat="1" applyFont="1" applyBorder="1" applyAlignment="1">
      <alignment vertical="center"/>
    </xf>
    <xf numFmtId="165" fontId="3" fillId="0" borderId="1" xfId="0" applyNumberFormat="1" applyFont="1" applyBorder="1"/>
    <xf numFmtId="0" fontId="5" fillId="8" borderId="40" xfId="0" applyFont="1" applyFill="1" applyBorder="1" applyAlignment="1">
      <alignment horizontal="center" vertical="center"/>
    </xf>
    <xf numFmtId="0" fontId="5" fillId="8" borderId="78" xfId="0" applyFont="1" applyFill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17" fontId="4" fillId="7" borderId="73" xfId="0" applyNumberFormat="1" applyFont="1" applyFill="1" applyBorder="1" applyAlignment="1" applyProtection="1">
      <alignment horizontal="center" vertical="center"/>
    </xf>
    <xf numFmtId="17" fontId="4" fillId="7" borderId="76" xfId="0" applyNumberFormat="1" applyFont="1" applyFill="1" applyBorder="1" applyAlignment="1" applyProtection="1">
      <alignment horizontal="center" vertical="center"/>
    </xf>
    <xf numFmtId="1" fontId="3" fillId="8" borderId="42" xfId="0" applyNumberFormat="1" applyFont="1" applyFill="1" applyBorder="1" applyAlignment="1">
      <alignment horizontal="center" vertical="center" wrapText="1"/>
    </xf>
    <xf numFmtId="1" fontId="3" fillId="8" borderId="4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1" fontId="3" fillId="8" borderId="44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1" fontId="3" fillId="7" borderId="42" xfId="0" applyNumberFormat="1" applyFont="1" applyFill="1" applyBorder="1" applyAlignment="1">
      <alignment horizontal="center" vertical="center" wrapText="1"/>
    </xf>
    <xf numFmtId="1" fontId="3" fillId="7" borderId="4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49" xfId="0" applyFont="1" applyFill="1" applyBorder="1" applyAlignment="1">
      <alignment horizontal="center" vertical="center"/>
    </xf>
    <xf numFmtId="0" fontId="14" fillId="8" borderId="67" xfId="0" applyFont="1" applyFill="1" applyBorder="1" applyAlignment="1">
      <alignment horizontal="center" vertical="center"/>
    </xf>
    <xf numFmtId="0" fontId="14" fillId="8" borderId="45" xfId="0" applyFont="1" applyFill="1" applyBorder="1" applyAlignment="1">
      <alignment horizontal="center" vertical="center"/>
    </xf>
    <xf numFmtId="0" fontId="15" fillId="8" borderId="73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78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 wrapText="1"/>
    </xf>
    <xf numFmtId="165" fontId="15" fillId="8" borderId="1" xfId="0" applyNumberFormat="1" applyFont="1" applyFill="1" applyBorder="1" applyAlignment="1">
      <alignment horizontal="center" vertical="center" wrapText="1"/>
    </xf>
    <xf numFmtId="165" fontId="15" fillId="8" borderId="9" xfId="0" applyNumberFormat="1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/>
    </xf>
    <xf numFmtId="173" fontId="15" fillId="0" borderId="0" xfId="0" applyNumberFormat="1" applyFont="1" applyFill="1" applyBorder="1" applyAlignment="1">
      <alignment horizontal="center" vertical="center"/>
    </xf>
    <xf numFmtId="165" fontId="15" fillId="8" borderId="37" xfId="0" applyNumberFormat="1" applyFont="1" applyFill="1" applyBorder="1" applyAlignment="1">
      <alignment horizontal="center" vertical="center" wrapText="1"/>
    </xf>
    <xf numFmtId="165" fontId="15" fillId="8" borderId="41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74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5" fillId="7" borderId="74" xfId="0" applyFont="1" applyFill="1" applyBorder="1" applyAlignment="1">
      <alignment horizontal="center" vertical="center" wrapText="1"/>
    </xf>
    <xf numFmtId="0" fontId="5" fillId="7" borderId="64" xfId="0" applyFont="1" applyFill="1" applyBorder="1" applyAlignment="1">
      <alignment horizontal="center" vertical="center" wrapText="1"/>
    </xf>
    <xf numFmtId="0" fontId="5" fillId="8" borderId="71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65" xfId="0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5" fillId="8" borderId="67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8" borderId="73" xfId="0" applyFont="1" applyFill="1" applyBorder="1" applyAlignment="1">
      <alignment horizontal="center" vertical="center"/>
    </xf>
    <xf numFmtId="0" fontId="5" fillId="8" borderId="78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 wrapText="1"/>
    </xf>
    <xf numFmtId="0" fontId="5" fillId="8" borderId="5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80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166" fontId="6" fillId="0" borderId="37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0" fontId="5" fillId="8" borderId="77" xfId="0" applyFont="1" applyFill="1" applyBorder="1" applyAlignment="1">
      <alignment horizontal="center" vertical="center"/>
    </xf>
    <xf numFmtId="0" fontId="5" fillId="8" borderId="63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174" fontId="6" fillId="0" borderId="38" xfId="0" applyNumberFormat="1" applyFont="1" applyBorder="1" applyAlignment="1">
      <alignment horizontal="center" vertical="center"/>
    </xf>
    <xf numFmtId="174" fontId="6" fillId="0" borderId="10" xfId="0" applyNumberFormat="1" applyFont="1" applyBorder="1" applyAlignment="1">
      <alignment horizontal="center" vertical="center"/>
    </xf>
    <xf numFmtId="174" fontId="5" fillId="0" borderId="40" xfId="0" applyNumberFormat="1" applyFont="1" applyFill="1" applyBorder="1" applyAlignment="1">
      <alignment horizontal="center" vertical="center"/>
    </xf>
    <xf numFmtId="174" fontId="5" fillId="0" borderId="17" xfId="0" applyNumberFormat="1" applyFont="1" applyFill="1" applyBorder="1" applyAlignment="1">
      <alignment horizontal="center" vertical="center"/>
    </xf>
    <xf numFmtId="174" fontId="6" fillId="0" borderId="41" xfId="0" applyNumberFormat="1" applyFont="1" applyBorder="1" applyAlignment="1">
      <alignment horizontal="center" vertical="center"/>
    </xf>
    <xf numFmtId="174" fontId="6" fillId="0" borderId="12" xfId="0" applyNumberFormat="1" applyFont="1" applyBorder="1" applyAlignment="1">
      <alignment horizontal="center" vertical="center"/>
    </xf>
    <xf numFmtId="174" fontId="5" fillId="0" borderId="40" xfId="0" applyNumberFormat="1" applyFont="1" applyBorder="1" applyAlignment="1">
      <alignment horizontal="center" vertical="center"/>
    </xf>
    <xf numFmtId="174" fontId="5" fillId="0" borderId="17" xfId="0" applyNumberFormat="1" applyFont="1" applyBorder="1" applyAlignment="1">
      <alignment horizontal="center" vertical="center"/>
    </xf>
    <xf numFmtId="174" fontId="6" fillId="0" borderId="37" xfId="0" applyNumberFormat="1" applyFont="1" applyBorder="1" applyAlignment="1">
      <alignment horizontal="center" vertical="center"/>
    </xf>
    <xf numFmtId="174" fontId="6" fillId="0" borderId="11" xfId="0" applyNumberFormat="1" applyFont="1" applyBorder="1" applyAlignment="1">
      <alignment horizontal="center" vertical="center"/>
    </xf>
    <xf numFmtId="174" fontId="6" fillId="0" borderId="5" xfId="0" applyNumberFormat="1" applyFont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 wrapText="1"/>
    </xf>
    <xf numFmtId="0" fontId="5" fillId="8" borderId="67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73" xfId="0" applyFont="1" applyFill="1" applyBorder="1" applyAlignment="1">
      <alignment horizontal="center" vertical="center" wrapText="1"/>
    </xf>
    <xf numFmtId="0" fontId="5" fillId="8" borderId="80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5" fillId="8" borderId="78" xfId="0" applyFont="1" applyFill="1" applyBorder="1" applyAlignment="1">
      <alignment horizontal="center" vertical="center" wrapText="1"/>
    </xf>
    <xf numFmtId="0" fontId="5" fillId="8" borderId="75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/>
    </xf>
    <xf numFmtId="0" fontId="5" fillId="8" borderId="43" xfId="0" applyFont="1" applyFill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64" xfId="0" applyFont="1" applyFill="1" applyBorder="1" applyAlignment="1">
      <alignment horizontal="center" vertical="center" wrapText="1"/>
    </xf>
    <xf numFmtId="0" fontId="3" fillId="8" borderId="54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56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5" fillId="8" borderId="76" xfId="0" applyFont="1" applyFill="1" applyBorder="1" applyAlignment="1">
      <alignment horizontal="center" vertical="center"/>
    </xf>
    <xf numFmtId="0" fontId="5" fillId="8" borderId="79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</cellXfs>
  <cellStyles count="5">
    <cellStyle name="Euro" xfId="1"/>
    <cellStyle name="Millares_GRAFICOS" xfId="2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30884808013462"/>
          <c:y val="7.5000091552846926E-2"/>
          <c:w val="0.74791318864774559"/>
          <c:h val="0.71750087585556133"/>
        </c:manualLayout>
      </c:layout>
      <c:lineChart>
        <c:grouping val="standard"/>
        <c:varyColors val="0"/>
        <c:ser>
          <c:idx val="0"/>
          <c:order val="0"/>
          <c:tx>
            <c:strRef>
              <c:f>'G-SH-1 ImpPetr,96-02'!$L$4</c:f>
              <c:strCache>
                <c:ptCount val="1"/>
                <c:pt idx="0">
                  <c:v>Volúmen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'G-SH-1 ImpPetr,96-02'!$K$6:$K$12</c:f>
              <c:numCache>
                <c:formatCode>General</c:formatCode>
                <c:ptCount val="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</c:numCache>
            </c:numRef>
          </c:cat>
          <c:val>
            <c:numRef>
              <c:f>'G-SH-1 ImpPetr,96-02'!$L$6:$L$12</c:f>
              <c:numCache>
                <c:formatCode>#,##0</c:formatCode>
                <c:ptCount val="7"/>
                <c:pt idx="0">
                  <c:v>14687.9</c:v>
                </c:pt>
                <c:pt idx="1">
                  <c:v>14825.8</c:v>
                </c:pt>
                <c:pt idx="2">
                  <c:v>16628.099999999999</c:v>
                </c:pt>
                <c:pt idx="3">
                  <c:v>18001.3</c:v>
                </c:pt>
                <c:pt idx="4">
                  <c:v>16192.7</c:v>
                </c:pt>
                <c:pt idx="5">
                  <c:v>20621</c:v>
                </c:pt>
                <c:pt idx="6">
                  <c:v>9843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FC-4617-A972-A007D0FFA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53688"/>
        <c:axId val="277054472"/>
      </c:lineChart>
      <c:catAx>
        <c:axId val="277053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6577629382303842"/>
              <c:y val="0.9250010498687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054472"/>
        <c:crossesAt val="10000"/>
        <c:auto val="1"/>
        <c:lblAlgn val="ctr"/>
        <c:lblOffset val="100"/>
        <c:tickMarkSkip val="1"/>
        <c:noMultiLvlLbl val="0"/>
      </c:catAx>
      <c:valAx>
        <c:axId val="277054472"/>
        <c:scaling>
          <c:orientation val="minMax"/>
          <c:max val="22000"/>
          <c:min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miles de Barriles</a:t>
                </a:r>
              </a:p>
            </c:rich>
          </c:tx>
          <c:layout>
            <c:manualLayout>
              <c:xMode val="edge"/>
              <c:yMode val="edge"/>
              <c:x val="2.003338898163606E-2"/>
              <c:y val="0.315000262467191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053688"/>
        <c:crosses val="autoZero"/>
        <c:crossBetween val="between"/>
        <c:majorUnit val="2000"/>
        <c:min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36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5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INTERCAMBIO DE ENERGÍA CON CENTROAMÉRICA
1999 - 2000</a:t>
            </a:r>
          </a:p>
        </c:rich>
      </c:tx>
      <c:layout>
        <c:manualLayout>
          <c:xMode val="edge"/>
          <c:yMode val="edge"/>
          <c:x val="0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369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AD-4780-86C7-83338CF687D6}"/>
            </c:ext>
          </c:extLst>
        </c:ser>
        <c:ser>
          <c:idx val="1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AD-4780-86C7-83338CF687D6}"/>
            </c:ext>
          </c:extLst>
        </c:ser>
        <c:ser>
          <c:idx val="2"/>
          <c:order val="2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AD-4780-86C7-83338CF687D6}"/>
            </c:ext>
          </c:extLst>
        </c:ser>
        <c:ser>
          <c:idx val="3"/>
          <c:order val="3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0AD-4780-86C7-83338CF6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695672"/>
        <c:axId val="278695280"/>
        <c:axId val="0"/>
      </c:bar3DChart>
      <c:catAx>
        <c:axId val="27869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69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5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CCFFFF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-3" vertic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5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Efecto Neto vs Tarífa del IRHE</a:t>
            </a:r>
          </a:p>
        </c:rich>
      </c:tx>
      <c:layout>
        <c:manualLayout>
          <c:xMode val="edge"/>
          <c:yMode val="edge"/>
          <c:x val="0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8080"/>
                </a:gs>
                <a:gs pos="50000">
                  <a:srgbClr val="33CCCC"/>
                </a:gs>
                <a:gs pos="100000">
                  <a:srgbClr val="008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E2-4E1A-806E-4D4A528DCA8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FF8080"/>
                </a:gs>
                <a:gs pos="50000">
                  <a:srgbClr val="FF0000"/>
                </a:gs>
                <a:gs pos="100000">
                  <a:srgbClr val="FF8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E2-4E1A-806E-4D4A528DCA87}"/>
            </c:ext>
          </c:extLst>
        </c:ser>
        <c:ser>
          <c:idx val="2"/>
          <c:order val="2"/>
          <c:spPr>
            <a:gradFill rotWithShape="0">
              <a:gsLst>
                <a:gs pos="0">
                  <a:srgbClr val="FFFF00"/>
                </a:gs>
                <a:gs pos="50000">
                  <a:srgbClr val="FFFFCC"/>
                </a:gs>
                <a:gs pos="100000">
                  <a:srgbClr val="FFFF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E2-4E1A-806E-4D4A528DC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693320"/>
        <c:axId val="278694496"/>
      </c:barChart>
      <c:catAx>
        <c:axId val="27869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69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3320"/>
        <c:crosses val="autoZero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CCFFFF"/>
        </a:gs>
        <a:gs pos="50000">
          <a:srgbClr val="C0C0C0"/>
        </a:gs>
        <a:gs pos="100000">
          <a:srgbClr val="CCFFFF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-3" verticalDpi="36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24254763559172"/>
          <c:y val="5.8212276479993004E-2"/>
          <c:w val="0.87878891902097833"/>
          <c:h val="0.71725637205952164"/>
        </c:manualLayout>
      </c:layout>
      <c:lineChart>
        <c:grouping val="standard"/>
        <c:varyColors val="0"/>
        <c:ser>
          <c:idx val="0"/>
          <c:order val="0"/>
          <c:tx>
            <c:v>Diesel liviano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('G-SH-5 PreParProMen,00-21'!$T$132:$T$143,'G-SH-5 PreParProMen,00-21'!$Z$6:$Z$17,'G-SH-5 PreParProMen,00-21'!$Z$20:$Z$31,'G-SH-5 PreParProMen,00-21'!$Z$34:$Z$45,'G-SH-5 PreParProMen,00-21'!$Z$48:$Z$59,'G-SH-5 PreParProMen,00-21'!$Z$62:$Z$73,'G-SH-5 PreParProMen,00-21'!$Z$76:$Z$87,'G-SH-5 PreParProMen,00-21'!$Z$90:$Z$101,'G-SH-5 PreParProMen,00-21'!$Z$104:$Z$115,'G-SH-5 PreParProMen,00-21'!$Z$118:$Z$129,'G-SH-5 PreParProMen,00-21'!$Z$132:$Z$143,'G-SH-5 PreParProMen,00-21'!$AF$6:$AF$17)</c:f>
              <c:numCache>
                <c:formatCode>mmm\-yy</c:formatCode>
                <c:ptCount val="14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</c:numCache>
            </c:numRef>
          </c:cat>
          <c:val>
            <c:numRef>
              <c:f>('G-SH-5 PreParProMen,00-21'!$U$132:$U$143,'G-SH-5 PreParProMen,00-21'!$AA$6:$AA$17,'G-SH-5 PreParProMen,00-21'!$AA$20:$AA$31,'G-SH-5 PreParProMen,00-21'!$AA$34:$AA$45,'G-SH-5 PreParProMen,00-21'!$AA$48:$AA$59,'G-SH-5 PreParProMen,00-21'!$AA$62:$AA$73,'G-SH-5 PreParProMen,00-21'!$AA$76:$AA$87,'G-SH-5 PreParProMen,00-21'!$AA$90:$AA$101,'G-SH-5 PreParProMen,00-21'!$AA$104:$AA$115,'G-SH-5 PreParProMen,00-21'!$AA$118:$AA$129,'G-SH-5 PreParProMen,00-21'!$AA$132:$AA$143,'G-SH-5 PreParProMen,00-21'!$AG$6:$AG$17)</c:f>
              <c:numCache>
                <c:formatCode>0.00</c:formatCode>
                <c:ptCount val="144"/>
                <c:pt idx="0">
                  <c:v>90.837600000000009</c:v>
                </c:pt>
                <c:pt idx="1">
                  <c:v>87.15270000000001</c:v>
                </c:pt>
                <c:pt idx="2">
                  <c:v>91.763225806451615</c:v>
                </c:pt>
                <c:pt idx="3">
                  <c:v>96.110979999999998</c:v>
                </c:pt>
                <c:pt idx="4">
                  <c:v>97.382419354838703</c:v>
                </c:pt>
                <c:pt idx="5">
                  <c:v>87.813320000000004</c:v>
                </c:pt>
                <c:pt idx="6">
                  <c:v>90.479245161290308</c:v>
                </c:pt>
                <c:pt idx="7">
                  <c:v>92.127541935483876</c:v>
                </c:pt>
                <c:pt idx="8">
                  <c:v>90.417600000000007</c:v>
                </c:pt>
                <c:pt idx="9">
                  <c:v>96.120929032258061</c:v>
                </c:pt>
                <c:pt idx="10">
                  <c:v>100.59994</c:v>
                </c:pt>
                <c:pt idx="11">
                  <c:v>103.22827741935484</c:v>
                </c:pt>
                <c:pt idx="12">
                  <c:v>110.25</c:v>
                </c:pt>
                <c:pt idx="13">
                  <c:v>116.2</c:v>
                </c:pt>
                <c:pt idx="14">
                  <c:v>126.19</c:v>
                </c:pt>
                <c:pt idx="15">
                  <c:v>138.34</c:v>
                </c:pt>
                <c:pt idx="16">
                  <c:v>136.15</c:v>
                </c:pt>
                <c:pt idx="17">
                  <c:v>128.97</c:v>
                </c:pt>
                <c:pt idx="18">
                  <c:v>130.22999999999999</c:v>
                </c:pt>
                <c:pt idx="19">
                  <c:v>130.28</c:v>
                </c:pt>
                <c:pt idx="20">
                  <c:v>128.68</c:v>
                </c:pt>
                <c:pt idx="21">
                  <c:v>126.1</c:v>
                </c:pt>
                <c:pt idx="22">
                  <c:v>131.43</c:v>
                </c:pt>
                <c:pt idx="23">
                  <c:v>127.08</c:v>
                </c:pt>
                <c:pt idx="24">
                  <c:v>132.62269999999998</c:v>
                </c:pt>
                <c:pt idx="25">
                  <c:v>137.64939999999999</c:v>
                </c:pt>
                <c:pt idx="26">
                  <c:v>140.63069999999999</c:v>
                </c:pt>
                <c:pt idx="27">
                  <c:v>140.43120000000002</c:v>
                </c:pt>
                <c:pt idx="28">
                  <c:v>132.29650000000001</c:v>
                </c:pt>
                <c:pt idx="29">
                  <c:v>119.99960000000002</c:v>
                </c:pt>
                <c:pt idx="30">
                  <c:v>120.54279999999999</c:v>
                </c:pt>
                <c:pt idx="31">
                  <c:v>129.42824231644531</c:v>
                </c:pt>
                <c:pt idx="32">
                  <c:v>138.07192584252149</c:v>
                </c:pt>
                <c:pt idx="33">
                  <c:v>139.13737333409986</c:v>
                </c:pt>
                <c:pt idx="34">
                  <c:v>132.47754720397157</c:v>
                </c:pt>
                <c:pt idx="35">
                  <c:v>131.00187846266672</c:v>
                </c:pt>
                <c:pt idx="36">
                  <c:v>132.94243966276426</c:v>
                </c:pt>
                <c:pt idx="37">
                  <c:v>138.47768627145609</c:v>
                </c:pt>
                <c:pt idx="38">
                  <c:v>138.04363997092472</c:v>
                </c:pt>
                <c:pt idx="39">
                  <c:v>131.86827100411804</c:v>
                </c:pt>
                <c:pt idx="40">
                  <c:v>125.43126045447006</c:v>
                </c:pt>
                <c:pt idx="41">
                  <c:v>124.64900000000002</c:v>
                </c:pt>
                <c:pt idx="42">
                  <c:v>127.4084</c:v>
                </c:pt>
                <c:pt idx="43">
                  <c:v>130.95152719548253</c:v>
                </c:pt>
                <c:pt idx="44">
                  <c:v>133.50119999999998</c:v>
                </c:pt>
                <c:pt idx="45">
                  <c:v>130.49782298935878</c:v>
                </c:pt>
                <c:pt idx="46">
                  <c:v>127.07749731914505</c:v>
                </c:pt>
                <c:pt idx="47">
                  <c:v>129.51119999999997</c:v>
                </c:pt>
                <c:pt idx="48">
                  <c:v>128.6019</c:v>
                </c:pt>
                <c:pt idx="49">
                  <c:v>128.82659999999998</c:v>
                </c:pt>
                <c:pt idx="50">
                  <c:v>130.27559999999997</c:v>
                </c:pt>
                <c:pt idx="51">
                  <c:v>126.98279999999998</c:v>
                </c:pt>
                <c:pt idx="52">
                  <c:v>128.7636</c:v>
                </c:pt>
                <c:pt idx="53">
                  <c:v>127.89560000000002</c:v>
                </c:pt>
                <c:pt idx="54">
                  <c:v>127.827</c:v>
                </c:pt>
                <c:pt idx="55">
                  <c:v>125.3728</c:v>
                </c:pt>
                <c:pt idx="56">
                  <c:v>123.73200000000001</c:v>
                </c:pt>
                <c:pt idx="57">
                  <c:v>115.31939999999999</c:v>
                </c:pt>
                <c:pt idx="58">
                  <c:v>106.12699999999998</c:v>
                </c:pt>
                <c:pt idx="59">
                  <c:v>86.14</c:v>
                </c:pt>
                <c:pt idx="60">
                  <c:v>73.791199999999989</c:v>
                </c:pt>
                <c:pt idx="61">
                  <c:v>74.2042</c:v>
                </c:pt>
                <c:pt idx="62">
                  <c:v>81.313400000000001</c:v>
                </c:pt>
                <c:pt idx="63">
                  <c:v>78.968399999999988</c:v>
                </c:pt>
                <c:pt idx="64">
                  <c:v>85.7654</c:v>
                </c:pt>
                <c:pt idx="65">
                  <c:v>83.738200000000006</c:v>
                </c:pt>
                <c:pt idx="66">
                  <c:v>78.932000000000002</c:v>
                </c:pt>
                <c:pt idx="67">
                  <c:v>71.656199999999998</c:v>
                </c:pt>
                <c:pt idx="68">
                  <c:v>67.485600000000005</c:v>
                </c:pt>
                <c:pt idx="69">
                  <c:v>65.709000000000003</c:v>
                </c:pt>
                <c:pt idx="70">
                  <c:v>64.048599999999993</c:v>
                </c:pt>
                <c:pt idx="71">
                  <c:v>56.555799999999998</c:v>
                </c:pt>
                <c:pt idx="72">
                  <c:v>49.284199999999998</c:v>
                </c:pt>
                <c:pt idx="73">
                  <c:v>46.5458</c:v>
                </c:pt>
                <c:pt idx="74">
                  <c:v>52.295600000000007</c:v>
                </c:pt>
                <c:pt idx="75">
                  <c:v>54.845000000000006</c:v>
                </c:pt>
                <c:pt idx="76">
                  <c:v>62.774249999999995</c:v>
                </c:pt>
                <c:pt idx="77">
                  <c:v>66.533599999999993</c:v>
                </c:pt>
                <c:pt idx="78">
                  <c:v>63.717149999999997</c:v>
                </c:pt>
                <c:pt idx="79">
                  <c:v>60.704000000000001</c:v>
                </c:pt>
                <c:pt idx="80">
                  <c:v>65.013199999999998</c:v>
                </c:pt>
                <c:pt idx="81">
                  <c:v>68.004999999999995</c:v>
                </c:pt>
                <c:pt idx="82">
                  <c:v>67.32459999999999</c:v>
                </c:pt>
                <c:pt idx="83">
                  <c:v>69.232799999999997</c:v>
                </c:pt>
                <c:pt idx="84">
                  <c:v>74.800600000000003</c:v>
                </c:pt>
                <c:pt idx="85">
                  <c:v>73.657499999999999</c:v>
                </c:pt>
                <c:pt idx="86">
                  <c:v>71.661799999999999</c:v>
                </c:pt>
                <c:pt idx="87">
                  <c:v>72.0398</c:v>
                </c:pt>
                <c:pt idx="88">
                  <c:v>70.195999999999998</c:v>
                </c:pt>
                <c:pt idx="89">
                  <c:v>67.947599999999994</c:v>
                </c:pt>
                <c:pt idx="90">
                  <c:v>65.665600000000012</c:v>
                </c:pt>
                <c:pt idx="91">
                  <c:v>73.058999999999997</c:v>
                </c:pt>
                <c:pt idx="92">
                  <c:v>78.4602</c:v>
                </c:pt>
                <c:pt idx="93">
                  <c:v>80.130400000000009</c:v>
                </c:pt>
                <c:pt idx="94">
                  <c:v>82.657399999999996</c:v>
                </c:pt>
                <c:pt idx="95">
                  <c:v>84.555800000000005</c:v>
                </c:pt>
                <c:pt idx="96">
                  <c:v>89.434800000000024</c:v>
                </c:pt>
                <c:pt idx="97">
                  <c:v>89.760300000000001</c:v>
                </c:pt>
                <c:pt idx="98">
                  <c:v>86.111199999999997</c:v>
                </c:pt>
                <c:pt idx="99">
                  <c:v>90.067599999999999</c:v>
                </c:pt>
                <c:pt idx="100">
                  <c:v>96.415199999999999</c:v>
                </c:pt>
                <c:pt idx="101">
                  <c:v>97.808199999999999</c:v>
                </c:pt>
                <c:pt idx="102">
                  <c:v>95.04740000000001</c:v>
                </c:pt>
                <c:pt idx="103">
                  <c:v>94.834950000000006</c:v>
                </c:pt>
                <c:pt idx="104">
                  <c:v>97.785799999999995</c:v>
                </c:pt>
                <c:pt idx="105">
                  <c:v>102.06140000000002</c:v>
                </c:pt>
                <c:pt idx="106">
                  <c:v>97.840400000000002</c:v>
                </c:pt>
                <c:pt idx="107">
                  <c:v>85.177399999999992</c:v>
                </c:pt>
                <c:pt idx="108">
                  <c:v>79.538200000000003</c:v>
                </c:pt>
                <c:pt idx="109">
                  <c:v>85.658999999999992</c:v>
                </c:pt>
                <c:pt idx="110">
                  <c:v>88.775400000000005</c:v>
                </c:pt>
                <c:pt idx="111">
                  <c:v>89.951400000000007</c:v>
                </c:pt>
                <c:pt idx="112">
                  <c:v>91.919799999999995</c:v>
                </c:pt>
                <c:pt idx="113">
                  <c:v>86.07480000000001</c:v>
                </c:pt>
                <c:pt idx="114">
                  <c:v>84.120399999999989</c:v>
                </c:pt>
                <c:pt idx="115">
                  <c:v>82.833800000000011</c:v>
                </c:pt>
                <c:pt idx="116">
                  <c:v>84.565599999999989</c:v>
                </c:pt>
                <c:pt idx="117">
                  <c:v>86.599800000000002</c:v>
                </c:pt>
                <c:pt idx="118">
                  <c:v>85.13539999999999</c:v>
                </c:pt>
                <c:pt idx="119">
                  <c:v>84.838600000000014</c:v>
                </c:pt>
                <c:pt idx="120">
                  <c:v>85.771000000000001</c:v>
                </c:pt>
                <c:pt idx="121">
                  <c:v>75.938800000000001</c:v>
                </c:pt>
                <c:pt idx="122">
                  <c:v>63.653800000000004</c:v>
                </c:pt>
                <c:pt idx="123">
                  <c:v>45.096450000000004</c:v>
                </c:pt>
                <c:pt idx="124">
                  <c:v>39.613</c:v>
                </c:pt>
                <c:pt idx="125">
                  <c:v>46.1188</c:v>
                </c:pt>
                <c:pt idx="126">
                  <c:v>56.244999999999997</c:v>
                </c:pt>
                <c:pt idx="127">
                  <c:v>57.60860000000001</c:v>
                </c:pt>
                <c:pt idx="128">
                  <c:v>54.7134</c:v>
                </c:pt>
                <c:pt idx="129">
                  <c:v>52.463599999999992</c:v>
                </c:pt>
                <c:pt idx="130">
                  <c:v>53.898599999999995</c:v>
                </c:pt>
                <c:pt idx="131">
                  <c:v>63.929600000000001</c:v>
                </c:pt>
                <c:pt idx="132">
                  <c:v>69.050799999999995</c:v>
                </c:pt>
                <c:pt idx="133">
                  <c:v>75.677000000000007</c:v>
                </c:pt>
                <c:pt idx="134">
                  <c:v>83.305599999999998</c:v>
                </c:pt>
                <c:pt idx="135">
                  <c:v>82.303200000000004</c:v>
                </c:pt>
                <c:pt idx="136">
                  <c:v>85.950199999999995</c:v>
                </c:pt>
                <c:pt idx="137">
                  <c:v>91.267399999999995</c:v>
                </c:pt>
                <c:pt idx="138">
                  <c:v>93.426199999999994</c:v>
                </c:pt>
                <c:pt idx="139">
                  <c:v>91.910000000000011</c:v>
                </c:pt>
                <c:pt idx="140">
                  <c:v>93.206400000000016</c:v>
                </c:pt>
                <c:pt idx="141">
                  <c:v>102.42400000000001</c:v>
                </c:pt>
                <c:pt idx="142">
                  <c:v>109.14399999999999</c:v>
                </c:pt>
                <c:pt idx="143">
                  <c:v>99.208199999999991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C4-4919-AA1B-9182D33B6A85}"/>
            </c:ext>
          </c:extLst>
        </c:ser>
        <c:ser>
          <c:idx val="1"/>
          <c:order val="1"/>
          <c:tx>
            <c:v>Diesel marino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('G-SH-5 PreParProMen,00-21'!$T$132:$T$143,'G-SH-5 PreParProMen,00-21'!$Z$6:$Z$17,'G-SH-5 PreParProMen,00-21'!$Z$20:$Z$31,'G-SH-5 PreParProMen,00-21'!$Z$34:$Z$45,'G-SH-5 PreParProMen,00-21'!$Z$48:$Z$59,'G-SH-5 PreParProMen,00-21'!$Z$62:$Z$73,'G-SH-5 PreParProMen,00-21'!$Z$76:$Z$87,'G-SH-5 PreParProMen,00-21'!$Z$90:$Z$101,'G-SH-5 PreParProMen,00-21'!$Z$104:$Z$115,'G-SH-5 PreParProMen,00-21'!$Z$118:$Z$129,'G-SH-5 PreParProMen,00-21'!$Z$132:$Z$143,'G-SH-5 PreParProMen,00-21'!$AF$6:$AF$17)</c:f>
              <c:numCache>
                <c:formatCode>mmm\-yy</c:formatCode>
                <c:ptCount val="14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</c:numCache>
            </c:numRef>
          </c:cat>
          <c:val>
            <c:numRef>
              <c:f>('G-SH-5 PreParProMen,00-21'!$V$132:$V$143,'G-SH-5 PreParProMen,00-21'!$AE$136,'G-SH-5 PreParProMen,00-21'!$AB$6:$AB$17,'G-SH-5 PreParProMen,00-21'!$AB$20:$AB$31,'G-SH-5 PreParProMen,00-21'!$AB$34:$AB$40)</c:f>
              <c:numCache>
                <c:formatCode>0.00</c:formatCode>
                <c:ptCount val="44"/>
                <c:pt idx="0">
                  <c:v>87.413109677419357</c:v>
                </c:pt>
                <c:pt idx="1">
                  <c:v>83.375400000000013</c:v>
                </c:pt>
                <c:pt idx="2">
                  <c:v>86.494122580645154</c:v>
                </c:pt>
                <c:pt idx="3">
                  <c:v>90.411580000000001</c:v>
                </c:pt>
                <c:pt idx="4">
                  <c:v>91.233483870967731</c:v>
                </c:pt>
                <c:pt idx="5">
                  <c:v>82.703879999999998</c:v>
                </c:pt>
                <c:pt idx="6">
                  <c:v>85.023445161290326</c:v>
                </c:pt>
                <c:pt idx="7">
                  <c:v>86.208387096774175</c:v>
                </c:pt>
                <c:pt idx="8">
                  <c:v>85.421840000000003</c:v>
                </c:pt>
                <c:pt idx="9">
                  <c:v>91.132006451612895</c:v>
                </c:pt>
                <c:pt idx="10">
                  <c:v>95.234719999999996</c:v>
                </c:pt>
                <c:pt idx="11">
                  <c:v>97.835206451612905</c:v>
                </c:pt>
                <c:pt idx="13">
                  <c:v>104.73</c:v>
                </c:pt>
                <c:pt idx="14">
                  <c:v>110.55</c:v>
                </c:pt>
                <c:pt idx="15">
                  <c:v>120.44</c:v>
                </c:pt>
                <c:pt idx="16">
                  <c:v>132.03</c:v>
                </c:pt>
                <c:pt idx="17">
                  <c:v>129.96</c:v>
                </c:pt>
                <c:pt idx="18">
                  <c:v>123.71</c:v>
                </c:pt>
                <c:pt idx="19">
                  <c:v>125.03</c:v>
                </c:pt>
                <c:pt idx="20">
                  <c:v>125.03</c:v>
                </c:pt>
                <c:pt idx="21">
                  <c:v>123.64</c:v>
                </c:pt>
                <c:pt idx="22">
                  <c:v>121.43</c:v>
                </c:pt>
                <c:pt idx="23">
                  <c:v>126.42</c:v>
                </c:pt>
                <c:pt idx="24">
                  <c:v>121.98</c:v>
                </c:pt>
                <c:pt idx="25">
                  <c:v>127.41540000000001</c:v>
                </c:pt>
                <c:pt idx="26">
                  <c:v>132.47919999999999</c:v>
                </c:pt>
                <c:pt idx="27">
                  <c:v>135.26799999999997</c:v>
                </c:pt>
                <c:pt idx="28">
                  <c:v>135.10980000000001</c:v>
                </c:pt>
                <c:pt idx="29">
                  <c:v>127.0038</c:v>
                </c:pt>
                <c:pt idx="30">
                  <c:v>114.63760000000001</c:v>
                </c:pt>
                <c:pt idx="31">
                  <c:v>113.90540000000001</c:v>
                </c:pt>
                <c:pt idx="32">
                  <c:v>122.21957734772812</c:v>
                </c:pt>
                <c:pt idx="33">
                  <c:v>130.36348560113933</c:v>
                </c:pt>
                <c:pt idx="34">
                  <c:v>121.89626099035193</c:v>
                </c:pt>
                <c:pt idx="35">
                  <c:v>125.2148673094101</c:v>
                </c:pt>
                <c:pt idx="36">
                  <c:v>124.26689854609319</c:v>
                </c:pt>
                <c:pt idx="37">
                  <c:v>125.74466276765222</c:v>
                </c:pt>
                <c:pt idx="38">
                  <c:v>130.31480315484583</c:v>
                </c:pt>
                <c:pt idx="39">
                  <c:v>128.72623374450248</c:v>
                </c:pt>
                <c:pt idx="40">
                  <c:v>121.59584129268913</c:v>
                </c:pt>
                <c:pt idx="41">
                  <c:v>115.56290536366851</c:v>
                </c:pt>
                <c:pt idx="42">
                  <c:v>117.17860000000002</c:v>
                </c:pt>
                <c:pt idx="43">
                  <c:v>118.48480000000001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C4-4919-AA1B-9182D33B6A85}"/>
            </c:ext>
          </c:extLst>
        </c:ser>
        <c:ser>
          <c:idx val="2"/>
          <c:order val="2"/>
          <c:tx>
            <c:v>Bunker 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('G-SH-5 PreParProMen,00-21'!$T$132:$T$143,'G-SH-5 PreParProMen,00-21'!$Z$6:$Z$17,'G-SH-5 PreParProMen,00-21'!$Z$20:$Z$31,'G-SH-5 PreParProMen,00-21'!$Z$34:$Z$45,'G-SH-5 PreParProMen,00-21'!$Z$48:$Z$59,'G-SH-5 PreParProMen,00-21'!$Z$62:$Z$73,'G-SH-5 PreParProMen,00-21'!$Z$76:$Z$87,'G-SH-5 PreParProMen,00-21'!$Z$90:$Z$101,'G-SH-5 PreParProMen,00-21'!$Z$104:$Z$115,'G-SH-5 PreParProMen,00-21'!$Z$118:$Z$129,'G-SH-5 PreParProMen,00-21'!$Z$132:$Z$143,'G-SH-5 PreParProMen,00-21'!$AF$6:$AF$17)</c:f>
              <c:numCache>
                <c:formatCode>mmm\-yy</c:formatCode>
                <c:ptCount val="14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</c:numCache>
            </c:numRef>
          </c:cat>
          <c:val>
            <c:numRef>
              <c:f>('G-SH-5 PreParProMen,00-21'!$W$132:$W$143,'G-SH-5 PreParProMen,00-21'!$AC$6:$AC$17,'G-SH-5 PreParProMen,00-21'!$AC$20:$AC$31,'G-SH-5 PreParProMen,00-21'!$AC$34:$AC$45,'G-SH-5 PreParProMen,00-21'!$AC$48:$AC$59,'G-SH-5 PreParProMen,00-21'!$AC$62:$AC$73,'G-SH-5 PreParProMen,00-21'!$AC$76:$AC$87,'G-SH-5 PreParProMen,00-21'!$AC$90:$AC$101,'G-SH-5 PreParProMen,00-21'!$AC$104:$AC$115,'G-SH-5 PreParProMen,00-21'!$AC$118:$AC$129,'G-SH-5 PreParProMen,00-21'!$AC$132:$AC$143,'G-SH-5 PreParProMen,00-21'!$AI$6:$AI$17)</c:f>
              <c:numCache>
                <c:formatCode>0.00</c:formatCode>
                <c:ptCount val="144"/>
                <c:pt idx="0">
                  <c:v>75.887090322580647</c:v>
                </c:pt>
                <c:pt idx="1">
                  <c:v>73.59</c:v>
                </c:pt>
                <c:pt idx="2">
                  <c:v>75.038148387096783</c:v>
                </c:pt>
                <c:pt idx="3">
                  <c:v>75.33232000000001</c:v>
                </c:pt>
                <c:pt idx="4">
                  <c:v>75.93369677419355</c:v>
                </c:pt>
                <c:pt idx="5">
                  <c:v>68.532519999999991</c:v>
                </c:pt>
                <c:pt idx="6">
                  <c:v>70.86077419354838</c:v>
                </c:pt>
                <c:pt idx="7">
                  <c:v>72.375754838709682</c:v>
                </c:pt>
                <c:pt idx="8">
                  <c:v>70.44408</c:v>
                </c:pt>
                <c:pt idx="9">
                  <c:v>74.268464516129029</c:v>
                </c:pt>
                <c:pt idx="10">
                  <c:v>76.889260000000007</c:v>
                </c:pt>
                <c:pt idx="11">
                  <c:v>78.026380645161296</c:v>
                </c:pt>
                <c:pt idx="12">
                  <c:v>82.68</c:v>
                </c:pt>
                <c:pt idx="13">
                  <c:v>87.96</c:v>
                </c:pt>
                <c:pt idx="14">
                  <c:v>97.43</c:v>
                </c:pt>
                <c:pt idx="15">
                  <c:v>106.78</c:v>
                </c:pt>
                <c:pt idx="16">
                  <c:v>105.18</c:v>
                </c:pt>
                <c:pt idx="17">
                  <c:v>102.66</c:v>
                </c:pt>
                <c:pt idx="18">
                  <c:v>104.24</c:v>
                </c:pt>
                <c:pt idx="19">
                  <c:v>104.03</c:v>
                </c:pt>
                <c:pt idx="20">
                  <c:v>103.46</c:v>
                </c:pt>
                <c:pt idx="21">
                  <c:v>102.78</c:v>
                </c:pt>
                <c:pt idx="22">
                  <c:v>106.38</c:v>
                </c:pt>
                <c:pt idx="23">
                  <c:v>101.58</c:v>
                </c:pt>
                <c:pt idx="24">
                  <c:v>108.40900000000001</c:v>
                </c:pt>
                <c:pt idx="25">
                  <c:v>114.01319999999998</c:v>
                </c:pt>
                <c:pt idx="26">
                  <c:v>116.58220000000001</c:v>
                </c:pt>
                <c:pt idx="27">
                  <c:v>116.70819999999999</c:v>
                </c:pt>
                <c:pt idx="28">
                  <c:v>107.7692</c:v>
                </c:pt>
                <c:pt idx="29">
                  <c:v>96.367599999999996</c:v>
                </c:pt>
                <c:pt idx="30">
                  <c:v>94.317999999999998</c:v>
                </c:pt>
                <c:pt idx="31">
                  <c:v>101.42960288077943</c:v>
                </c:pt>
                <c:pt idx="32">
                  <c:v>107.02062627817071</c:v>
                </c:pt>
                <c:pt idx="33">
                  <c:v>114.85407305192933</c:v>
                </c:pt>
                <c:pt idx="34">
                  <c:v>99.973203671028102</c:v>
                </c:pt>
                <c:pt idx="35">
                  <c:v>99.800214436914601</c:v>
                </c:pt>
                <c:pt idx="36">
                  <c:v>101.65823291811952</c:v>
                </c:pt>
                <c:pt idx="37">
                  <c:v>104.61470913151942</c:v>
                </c:pt>
                <c:pt idx="38">
                  <c:v>103.91436482423572</c:v>
                </c:pt>
                <c:pt idx="39">
                  <c:v>100.9811803076669</c:v>
                </c:pt>
                <c:pt idx="40">
                  <c:v>97.197897428558292</c:v>
                </c:pt>
                <c:pt idx="41">
                  <c:v>96.913600000000002</c:v>
                </c:pt>
                <c:pt idx="42">
                  <c:v>97.381200000000007</c:v>
                </c:pt>
                <c:pt idx="43">
                  <c:v>98.720555531455958</c:v>
                </c:pt>
                <c:pt idx="44">
                  <c:v>100.49759999999999</c:v>
                </c:pt>
                <c:pt idx="45">
                  <c:v>99.733017183509489</c:v>
                </c:pt>
                <c:pt idx="46">
                  <c:v>96.699156244679315</c:v>
                </c:pt>
                <c:pt idx="47">
                  <c:v>97.093500000000006</c:v>
                </c:pt>
                <c:pt idx="48">
                  <c:v>95.337899999999991</c:v>
                </c:pt>
                <c:pt idx="49">
                  <c:v>94.793999999999983</c:v>
                </c:pt>
                <c:pt idx="50">
                  <c:v>96.191200000000023</c:v>
                </c:pt>
                <c:pt idx="51">
                  <c:v>95.195099999999996</c:v>
                </c:pt>
                <c:pt idx="52">
                  <c:v>97.633200000000016</c:v>
                </c:pt>
                <c:pt idx="53">
                  <c:v>98.287000000000006</c:v>
                </c:pt>
                <c:pt idx="54">
                  <c:v>97.881000000000014</c:v>
                </c:pt>
                <c:pt idx="55">
                  <c:v>94.55040000000001</c:v>
                </c:pt>
                <c:pt idx="56">
                  <c:v>93.185400000000001</c:v>
                </c:pt>
                <c:pt idx="57">
                  <c:v>85.544550000000001</c:v>
                </c:pt>
                <c:pt idx="58">
                  <c:v>72.882599999999996</c:v>
                </c:pt>
                <c:pt idx="59">
                  <c:v>58.41</c:v>
                </c:pt>
                <c:pt idx="60">
                  <c:v>48.616399999999999</c:v>
                </c:pt>
                <c:pt idx="61">
                  <c:v>47.878600000000006</c:v>
                </c:pt>
                <c:pt idx="62">
                  <c:v>53.919600000000003</c:v>
                </c:pt>
                <c:pt idx="63">
                  <c:v>53.043900000000001</c:v>
                </c:pt>
                <c:pt idx="64">
                  <c:v>58.011800000000001</c:v>
                </c:pt>
                <c:pt idx="65">
                  <c:v>58.16299999999999</c:v>
                </c:pt>
                <c:pt idx="66">
                  <c:v>55.704599999999999</c:v>
                </c:pt>
                <c:pt idx="67">
                  <c:v>47.500599999999999</c:v>
                </c:pt>
                <c:pt idx="68">
                  <c:v>41.053599999999996</c:v>
                </c:pt>
                <c:pt idx="69">
                  <c:v>40.396999999999998</c:v>
                </c:pt>
                <c:pt idx="70">
                  <c:v>38.900399999999998</c:v>
                </c:pt>
                <c:pt idx="71">
                  <c:v>33.056800000000003</c:v>
                </c:pt>
                <c:pt idx="72">
                  <c:v>26.7988</c:v>
                </c:pt>
                <c:pt idx="73">
                  <c:v>25.191600000000001</c:v>
                </c:pt>
                <c:pt idx="74">
                  <c:v>28.7042</c:v>
                </c:pt>
                <c:pt idx="75">
                  <c:v>30.578800000000005</c:v>
                </c:pt>
                <c:pt idx="76">
                  <c:v>36.311100000000003</c:v>
                </c:pt>
                <c:pt idx="77">
                  <c:v>39.512200000000007</c:v>
                </c:pt>
                <c:pt idx="78">
                  <c:v>39.73095</c:v>
                </c:pt>
                <c:pt idx="79">
                  <c:v>38.375399999999999</c:v>
                </c:pt>
                <c:pt idx="80">
                  <c:v>41.714399999999998</c:v>
                </c:pt>
                <c:pt idx="81">
                  <c:v>43.97120000000001</c:v>
                </c:pt>
                <c:pt idx="82">
                  <c:v>44.242800000000003</c:v>
                </c:pt>
                <c:pt idx="83">
                  <c:v>47.284999999999997</c:v>
                </c:pt>
                <c:pt idx="84">
                  <c:v>52.120600000000003</c:v>
                </c:pt>
                <c:pt idx="85">
                  <c:v>51.891000000000005</c:v>
                </c:pt>
                <c:pt idx="86">
                  <c:v>50.248799999999996</c:v>
                </c:pt>
                <c:pt idx="87">
                  <c:v>49.613199999999999</c:v>
                </c:pt>
                <c:pt idx="88">
                  <c:v>49.606200000000001</c:v>
                </c:pt>
                <c:pt idx="89">
                  <c:v>48.916000000000004</c:v>
                </c:pt>
                <c:pt idx="90">
                  <c:v>47.835199999999993</c:v>
                </c:pt>
                <c:pt idx="91">
                  <c:v>51.361800000000002</c:v>
                </c:pt>
                <c:pt idx="92">
                  <c:v>53.138399999999997</c:v>
                </c:pt>
                <c:pt idx="93">
                  <c:v>54.144999999999996</c:v>
                </c:pt>
                <c:pt idx="94">
                  <c:v>58.445799999999998</c:v>
                </c:pt>
                <c:pt idx="95">
                  <c:v>60.227999999999994</c:v>
                </c:pt>
                <c:pt idx="96">
                  <c:v>62.244000000000007</c:v>
                </c:pt>
                <c:pt idx="97">
                  <c:v>61.647599999999997</c:v>
                </c:pt>
                <c:pt idx="98">
                  <c:v>60.192999999999998</c:v>
                </c:pt>
                <c:pt idx="99">
                  <c:v>61.891199999999998</c:v>
                </c:pt>
                <c:pt idx="100">
                  <c:v>67.977000000000004</c:v>
                </c:pt>
                <c:pt idx="101">
                  <c:v>70.910000000000011</c:v>
                </c:pt>
                <c:pt idx="102">
                  <c:v>71.778000000000006</c:v>
                </c:pt>
                <c:pt idx="103">
                  <c:v>70.961100000000002</c:v>
                </c:pt>
                <c:pt idx="104">
                  <c:v>70.880600000000001</c:v>
                </c:pt>
                <c:pt idx="105">
                  <c:v>75.285000000000011</c:v>
                </c:pt>
                <c:pt idx="106">
                  <c:v>73.308199999999999</c:v>
                </c:pt>
                <c:pt idx="107">
                  <c:v>64.642200000000003</c:v>
                </c:pt>
                <c:pt idx="108">
                  <c:v>59.627400000000002</c:v>
                </c:pt>
                <c:pt idx="109">
                  <c:v>69.207599999999999</c:v>
                </c:pt>
                <c:pt idx="110">
                  <c:v>70.3185</c:v>
                </c:pt>
                <c:pt idx="111">
                  <c:v>71.534399999999991</c:v>
                </c:pt>
                <c:pt idx="112">
                  <c:v>70.24499999999999</c:v>
                </c:pt>
                <c:pt idx="113">
                  <c:v>61.561499999999995</c:v>
                </c:pt>
                <c:pt idx="114">
                  <c:v>66.313800000000001</c:v>
                </c:pt>
                <c:pt idx="115">
                  <c:v>55.584199999999996</c:v>
                </c:pt>
                <c:pt idx="116">
                  <c:v>55.442099999999996</c:v>
                </c:pt>
                <c:pt idx="117">
                  <c:v>52.413899999999998</c:v>
                </c:pt>
                <c:pt idx="118">
                  <c:v>43.938299999999998</c:v>
                </c:pt>
                <c:pt idx="119">
                  <c:v>45.1374</c:v>
                </c:pt>
                <c:pt idx="120">
                  <c:v>51.031400000000005</c:v>
                </c:pt>
                <c:pt idx="121">
                  <c:v>51.996000000000009</c:v>
                </c:pt>
                <c:pt idx="122">
                  <c:v>41.549199999999999</c:v>
                </c:pt>
                <c:pt idx="123">
                  <c:v>24.913350000000001</c:v>
                </c:pt>
                <c:pt idx="124">
                  <c:v>25.412800000000004</c:v>
                </c:pt>
                <c:pt idx="125">
                  <c:v>34.206199999999995</c:v>
                </c:pt>
                <c:pt idx="126">
                  <c:v>42.413000000000004</c:v>
                </c:pt>
                <c:pt idx="127">
                  <c:v>45.555999999999997</c:v>
                </c:pt>
                <c:pt idx="128">
                  <c:v>44.643200000000007</c:v>
                </c:pt>
                <c:pt idx="129">
                  <c:v>42.452200000000005</c:v>
                </c:pt>
                <c:pt idx="130">
                  <c:v>43.636600000000008</c:v>
                </c:pt>
                <c:pt idx="131">
                  <c:v>49.078400000000002</c:v>
                </c:pt>
                <c:pt idx="132">
                  <c:v>52.973200000000006</c:v>
                </c:pt>
                <c:pt idx="133">
                  <c:v>56.784000000000006</c:v>
                </c:pt>
                <c:pt idx="134">
                  <c:v>61.406800000000004</c:v>
                </c:pt>
                <c:pt idx="135">
                  <c:v>61.1492</c:v>
                </c:pt>
                <c:pt idx="136">
                  <c:v>63.460599999999999</c:v>
                </c:pt>
                <c:pt idx="137">
                  <c:v>64.671599999999998</c:v>
                </c:pt>
                <c:pt idx="138">
                  <c:v>68.046999999999997</c:v>
                </c:pt>
                <c:pt idx="139">
                  <c:v>66.227000000000004</c:v>
                </c:pt>
                <c:pt idx="140">
                  <c:v>68.058199999999999</c:v>
                </c:pt>
                <c:pt idx="141">
                  <c:v>74.706800000000001</c:v>
                </c:pt>
                <c:pt idx="142">
                  <c:v>77.096599999999995</c:v>
                </c:pt>
                <c:pt idx="143">
                  <c:v>69.5548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C4-4919-AA1B-9182D33B6A85}"/>
            </c:ext>
          </c:extLst>
        </c:ser>
        <c:ser>
          <c:idx val="3"/>
          <c:order val="3"/>
          <c:tx>
            <c:v>Platts HFO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('G-SH-5 PreParProMen,00-21'!$T$132:$T$143,'G-SH-5 PreParProMen,00-21'!$Z$6:$Z$17,'G-SH-5 PreParProMen,00-21'!$Z$20:$Z$31,'G-SH-5 PreParProMen,00-21'!$Z$34:$Z$45,'G-SH-5 PreParProMen,00-21'!$Z$48:$Z$59,'G-SH-5 PreParProMen,00-21'!$Z$62:$Z$73,'G-SH-5 PreParProMen,00-21'!$Z$76:$Z$87,'G-SH-5 PreParProMen,00-21'!$Z$90:$Z$101,'G-SH-5 PreParProMen,00-21'!$Z$104:$Z$115,'G-SH-5 PreParProMen,00-21'!$Z$118:$Z$129,'G-SH-5 PreParProMen,00-21'!$Z$132:$Z$143,'G-SH-5 PreParProMen,00-21'!$AF$6:$AF$17)</c:f>
              <c:numCache>
                <c:formatCode>mmm\-yy</c:formatCode>
                <c:ptCount val="14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</c:numCache>
            </c:numRef>
          </c:cat>
          <c:val>
            <c:numRef>
              <c:f>('G-SH-5 PreParProMen,00-21'!$X$90:$X$101,'G-SH-5 PreParProMen,00-21'!$X$104:$X$115,'G-SH-5 PreParProMen,00-21'!$X$118:$X$129,'G-SH-5 PreParProMen,00-21'!$X$132:$X$143)</c:f>
              <c:numCache>
                <c:formatCode>0.00</c:formatCode>
                <c:ptCount val="48"/>
                <c:pt idx="0">
                  <c:v>36.484677419354846</c:v>
                </c:pt>
                <c:pt idx="1">
                  <c:v>40.31964285714286</c:v>
                </c:pt>
                <c:pt idx="2">
                  <c:v>40.584677419354826</c:v>
                </c:pt>
                <c:pt idx="3">
                  <c:v>46.598333333333336</c:v>
                </c:pt>
                <c:pt idx="4">
                  <c:v>50.35</c:v>
                </c:pt>
                <c:pt idx="5">
                  <c:v>52.120000000000005</c:v>
                </c:pt>
                <c:pt idx="6">
                  <c:v>55.552419354838705</c:v>
                </c:pt>
                <c:pt idx="7">
                  <c:v>54.147580645161305</c:v>
                </c:pt>
                <c:pt idx="8">
                  <c:v>56.789166666666681</c:v>
                </c:pt>
                <c:pt idx="9">
                  <c:v>63.739516129032246</c:v>
                </c:pt>
                <c:pt idx="10">
                  <c:v>72.482500000000016</c:v>
                </c:pt>
                <c:pt idx="11">
                  <c:v>68.187903225806465</c:v>
                </c:pt>
                <c:pt idx="12">
                  <c:v>69.479838709677438</c:v>
                </c:pt>
                <c:pt idx="13">
                  <c:v>68.043965517241361</c:v>
                </c:pt>
                <c:pt idx="14">
                  <c:v>71.533064516129016</c:v>
                </c:pt>
                <c:pt idx="15">
                  <c:v>75.55749999999999</c:v>
                </c:pt>
                <c:pt idx="16">
                  <c:v>84.564516129032256</c:v>
                </c:pt>
                <c:pt idx="17">
                  <c:v>93.664166666666659</c:v>
                </c:pt>
                <c:pt idx="18">
                  <c:v>107.14193548387098</c:v>
                </c:pt>
                <c:pt idx="19">
                  <c:v>97.374193548387112</c:v>
                </c:pt>
                <c:pt idx="20">
                  <c:v>83.079166666666637</c:v>
                </c:pt>
                <c:pt idx="21">
                  <c:v>56.666129032258077</c:v>
                </c:pt>
                <c:pt idx="22">
                  <c:v>33.36399999999999</c:v>
                </c:pt>
                <c:pt idx="23">
                  <c:v>30.112903225806456</c:v>
                </c:pt>
                <c:pt idx="24">
                  <c:v>38.191935483870971</c:v>
                </c:pt>
                <c:pt idx="25">
                  <c:v>40.753571428571426</c:v>
                </c:pt>
                <c:pt idx="26">
                  <c:v>37.786290322580633</c:v>
                </c:pt>
                <c:pt idx="27">
                  <c:v>43.158333333333339</c:v>
                </c:pt>
                <c:pt idx="28">
                  <c:v>52.091935483870976</c:v>
                </c:pt>
                <c:pt idx="29">
                  <c:v>60.18833333333334</c:v>
                </c:pt>
                <c:pt idx="30">
                  <c:v>59.851612903225792</c:v>
                </c:pt>
                <c:pt idx="31">
                  <c:v>66.100806451612897</c:v>
                </c:pt>
                <c:pt idx="32">
                  <c:v>63.980000000000018</c:v>
                </c:pt>
                <c:pt idx="33">
                  <c:v>67.048387096774192</c:v>
                </c:pt>
                <c:pt idx="34">
                  <c:v>70.948333333333309</c:v>
                </c:pt>
                <c:pt idx="35">
                  <c:v>68.956451612903209</c:v>
                </c:pt>
                <c:pt idx="36">
                  <c:v>71.275806451612894</c:v>
                </c:pt>
                <c:pt idx="37">
                  <c:v>69.608928571428592</c:v>
                </c:pt>
                <c:pt idx="38">
                  <c:v>69.588709677419359</c:v>
                </c:pt>
                <c:pt idx="39">
                  <c:v>72.744166666666686</c:v>
                </c:pt>
                <c:pt idx="40">
                  <c:v>66.795967741935485</c:v>
                </c:pt>
                <c:pt idx="41">
                  <c:v>66.019166666666663</c:v>
                </c:pt>
                <c:pt idx="42">
                  <c:v>65.989516129032253</c:v>
                </c:pt>
                <c:pt idx="43">
                  <c:v>66.562096774193535</c:v>
                </c:pt>
                <c:pt idx="44">
                  <c:v>67.063333333333347</c:v>
                </c:pt>
                <c:pt idx="45">
                  <c:v>71.432258064516134</c:v>
                </c:pt>
                <c:pt idx="46">
                  <c:v>72.301999999999992</c:v>
                </c:pt>
                <c:pt idx="47">
                  <c:v>75.725161290322575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3C4-4919-AA1B-9182D33B6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698024"/>
        <c:axId val="278692144"/>
      </c:lineChart>
      <c:dateAx>
        <c:axId val="278698024"/>
        <c:scaling>
          <c:orientation val="minMax"/>
        </c:scaling>
        <c:delete val="0"/>
        <c:axPos val="b"/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2144"/>
        <c:crossesAt val="0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7869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B/. / BBL</a:t>
                </a:r>
              </a:p>
            </c:rich>
          </c:tx>
          <c:layout>
            <c:manualLayout>
              <c:xMode val="edge"/>
              <c:yMode val="edge"/>
              <c:x val="1.4545454545454545E-2"/>
              <c:y val="0.38045781699325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[Red]\-#,##0.0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8024"/>
        <c:crosses val="autoZero"/>
        <c:crossBetween val="midCat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03030303030302"/>
          <c:y val="0.9064449064449065"/>
          <c:w val="0.5636363636363636"/>
          <c:h val="5.8212058212058215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circle">
        <a:fillToRect l="50000" t="50000" r="50000" b="5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261" header="0" footer="0"/>
    <c:pageSetup orientation="landscape" horizontalDpi="-3" verticalDpi="36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INTERCAMBIOS DE ENERGIA ELECTRICA </a:t>
            </a:r>
          </a:p>
        </c:rich>
      </c:tx>
      <c:layout>
        <c:manualLayout>
          <c:xMode val="edge"/>
          <c:yMode val="edge"/>
          <c:x val="0.39473684210526316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B-440D-BA89-EE6A15403FA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5B-440D-BA89-EE6A15403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691360"/>
        <c:axId val="278692536"/>
        <c:axId val="0"/>
      </c:bar3DChart>
      <c:catAx>
        <c:axId val="2786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2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692536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136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Combustible Utilizado
Transporte vs Sector Eléctrico</a:t>
            </a:r>
          </a:p>
        </c:rich>
      </c:tx>
      <c:layout>
        <c:manualLayout>
          <c:xMode val="edge"/>
          <c:yMode val="edge"/>
          <c:x val="0.35724962630792229"/>
          <c:y val="3.2500000000000001E-2"/>
        </c:manualLayout>
      </c:layout>
      <c:overlay val="0"/>
      <c:spPr>
        <a:noFill/>
        <a:ln w="25400">
          <a:noFill/>
        </a:ln>
      </c:spPr>
    </c:title>
    <c:autoTitleDeleted val="0"/>
    <c:view3D>
      <c:rotX val="53"/>
      <c:hPercent val="52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3359103774591"/>
          <c:y val="0.13250016174336154"/>
          <c:w val="0.8166679958788996"/>
          <c:h val="0.64750079040623831"/>
        </c:manualLayout>
      </c:layout>
      <c:bar3DChart>
        <c:barDir val="col"/>
        <c:grouping val="clustered"/>
        <c:varyColors val="0"/>
        <c:ser>
          <c:idx val="1"/>
          <c:order val="0"/>
          <c:tx>
            <c:v>Transporte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'G-SH-6 CoUtTRvsSEl,21'!$L$10:$L$29</c:f>
              <c:strCache>
                <c:ptCount val="15"/>
                <c:pt idx="0">
                  <c:v>ene-21</c:v>
                </c:pt>
                <c:pt idx="1">
                  <c:v>feb-21</c:v>
                </c:pt>
                <c:pt idx="2">
                  <c:v>mar-21</c:v>
                </c:pt>
                <c:pt idx="3">
                  <c:v>abr-21</c:v>
                </c:pt>
                <c:pt idx="4">
                  <c:v>may-21</c:v>
                </c:pt>
                <c:pt idx="5">
                  <c:v>jun-21</c:v>
                </c:pt>
                <c:pt idx="6">
                  <c:v>jul-21</c:v>
                </c:pt>
                <c:pt idx="7">
                  <c:v>ago-21</c:v>
                </c:pt>
                <c:pt idx="8">
                  <c:v>sep-21</c:v>
                </c:pt>
                <c:pt idx="9">
                  <c:v>oct-21</c:v>
                </c:pt>
                <c:pt idx="10">
                  <c:v>nov-21</c:v>
                </c:pt>
                <c:pt idx="11">
                  <c:v>dic-21</c:v>
                </c:pt>
                <c:pt idx="13">
                  <c:v>Promedio</c:v>
                </c:pt>
                <c:pt idx="14">
                  <c:v>Total</c:v>
                </c:pt>
              </c:strCache>
            </c:strRef>
          </c:cat>
          <c:val>
            <c:numRef>
              <c:f>'G-SH-6 CoUtTRvsSEl,21'!$P$10:$P$21</c:f>
              <c:numCache>
                <c:formatCode>#,##0_ ;[Red]\-#,##0\ </c:formatCode>
                <c:ptCount val="12"/>
                <c:pt idx="0">
                  <c:v>41098587</c:v>
                </c:pt>
                <c:pt idx="1">
                  <c:v>47770269</c:v>
                </c:pt>
                <c:pt idx="2">
                  <c:v>58548023</c:v>
                </c:pt>
                <c:pt idx="3">
                  <c:v>56108049.599999994</c:v>
                </c:pt>
                <c:pt idx="4">
                  <c:v>54580446</c:v>
                </c:pt>
                <c:pt idx="5">
                  <c:v>54880418</c:v>
                </c:pt>
                <c:pt idx="6">
                  <c:v>54481308</c:v>
                </c:pt>
                <c:pt idx="7">
                  <c:v>55471021</c:v>
                </c:pt>
                <c:pt idx="8">
                  <c:v>56145890</c:v>
                </c:pt>
                <c:pt idx="9">
                  <c:v>57652537</c:v>
                </c:pt>
                <c:pt idx="10">
                  <c:v>52273292</c:v>
                </c:pt>
                <c:pt idx="11">
                  <c:v>64424465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13-4279-97C6-6CA634EF5222}"/>
            </c:ext>
          </c:extLst>
        </c:ser>
        <c:ser>
          <c:idx val="0"/>
          <c:order val="1"/>
          <c:tx>
            <c:v>Gen. Eléctrica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'G-SH-6 CoUtTRvsSEl,21'!$L$10:$L$29</c:f>
              <c:strCache>
                <c:ptCount val="15"/>
                <c:pt idx="0">
                  <c:v>ene-21</c:v>
                </c:pt>
                <c:pt idx="1">
                  <c:v>feb-21</c:v>
                </c:pt>
                <c:pt idx="2">
                  <c:v>mar-21</c:v>
                </c:pt>
                <c:pt idx="3">
                  <c:v>abr-21</c:v>
                </c:pt>
                <c:pt idx="4">
                  <c:v>may-21</c:v>
                </c:pt>
                <c:pt idx="5">
                  <c:v>jun-21</c:v>
                </c:pt>
                <c:pt idx="6">
                  <c:v>jul-21</c:v>
                </c:pt>
                <c:pt idx="7">
                  <c:v>ago-21</c:v>
                </c:pt>
                <c:pt idx="8">
                  <c:v>sep-21</c:v>
                </c:pt>
                <c:pt idx="9">
                  <c:v>oct-21</c:v>
                </c:pt>
                <c:pt idx="10">
                  <c:v>nov-21</c:v>
                </c:pt>
                <c:pt idx="11">
                  <c:v>dic-21</c:v>
                </c:pt>
                <c:pt idx="13">
                  <c:v>Promedio</c:v>
                </c:pt>
                <c:pt idx="14">
                  <c:v>Total</c:v>
                </c:pt>
              </c:strCache>
            </c:strRef>
          </c:cat>
          <c:val>
            <c:numRef>
              <c:f>'G-SH-6 CoUtTRvsSEl,21'!$U$10:$U$21</c:f>
              <c:numCache>
                <c:formatCode>#,##0_ ;[Red]\-#,##0\ </c:formatCode>
                <c:ptCount val="12"/>
                <c:pt idx="0">
                  <c:v>1265155.1346599993</c:v>
                </c:pt>
                <c:pt idx="1">
                  <c:v>2277386.7387999999</c:v>
                </c:pt>
                <c:pt idx="2">
                  <c:v>2845171.1323112003</c:v>
                </c:pt>
                <c:pt idx="3">
                  <c:v>1264199.4528748002</c:v>
                </c:pt>
                <c:pt idx="4">
                  <c:v>1300426.8981056002</c:v>
                </c:pt>
                <c:pt idx="5">
                  <c:v>1100549.8996408</c:v>
                </c:pt>
                <c:pt idx="6">
                  <c:v>1145780.2063492001</c:v>
                </c:pt>
                <c:pt idx="7">
                  <c:v>998276.2483176</c:v>
                </c:pt>
                <c:pt idx="8">
                  <c:v>1628829.457105201</c:v>
                </c:pt>
                <c:pt idx="9">
                  <c:v>2110492.0390472016</c:v>
                </c:pt>
                <c:pt idx="10">
                  <c:v>3895389.6483039986</c:v>
                </c:pt>
                <c:pt idx="11">
                  <c:v>6919363.23330398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13-4279-97C6-6CA634EF5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6808064"/>
        <c:axId val="279551048"/>
        <c:axId val="0"/>
      </c:bar3DChart>
      <c:catAx>
        <c:axId val="2768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1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551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Galones</a:t>
                </a:r>
              </a:p>
            </c:rich>
          </c:tx>
          <c:layout>
            <c:manualLayout>
              <c:xMode val="edge"/>
              <c:yMode val="edge"/>
              <c:x val="2.0000078465528131E-2"/>
              <c:y val="0.360000524934383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8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05546335855999"/>
          <c:y val="0.89500104986876639"/>
          <c:w val="0.74589048566238636"/>
          <c:h val="6.9999999999999951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 paperSize="9" orientation="landscape" horizontalDpi="-3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Consumo de Combustible del Sector Transporte</a:t>
            </a:r>
          </a:p>
        </c:rich>
      </c:tx>
      <c:layout>
        <c:manualLayout>
          <c:xMode val="edge"/>
          <c:yMode val="edge"/>
          <c:x val="0.27366863905325445"/>
          <c:y val="3.2418952618453865E-2"/>
        </c:manualLayout>
      </c:layout>
      <c:overlay val="0"/>
      <c:spPr>
        <a:noFill/>
        <a:ln w="25400">
          <a:noFill/>
        </a:ln>
      </c:spPr>
    </c:title>
    <c:autoTitleDeleted val="0"/>
    <c:view3D>
      <c:rotX val="53"/>
      <c:hPercent val="53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272201102678538"/>
          <c:y val="8.7281795511221949E-2"/>
          <c:w val="0.83136154724593958"/>
          <c:h val="0.72069825436409285"/>
        </c:manualLayout>
      </c:layout>
      <c:bar3DChart>
        <c:barDir val="col"/>
        <c:grouping val="clustered"/>
        <c:varyColors val="0"/>
        <c:ser>
          <c:idx val="2"/>
          <c:order val="0"/>
          <c:tx>
            <c:v>95 Octano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'G-SH-6 CoUtTRvsSEl,21'!$L$10:$L$21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'G-SH-6 CoUtTRvsSEl,21'!$M$10:$M$21</c:f>
              <c:numCache>
                <c:formatCode>#,##0_ ;[Red]\-#,##0\ </c:formatCode>
                <c:ptCount val="12"/>
                <c:pt idx="0">
                  <c:v>12042650</c:v>
                </c:pt>
                <c:pt idx="1">
                  <c:v>14804314</c:v>
                </c:pt>
                <c:pt idx="2">
                  <c:v>19062372</c:v>
                </c:pt>
                <c:pt idx="3">
                  <c:v>18319283.899999999</c:v>
                </c:pt>
                <c:pt idx="4">
                  <c:v>18408225</c:v>
                </c:pt>
                <c:pt idx="5">
                  <c:v>18130754</c:v>
                </c:pt>
                <c:pt idx="6">
                  <c:v>18035805</c:v>
                </c:pt>
                <c:pt idx="7">
                  <c:v>18740908</c:v>
                </c:pt>
                <c:pt idx="8">
                  <c:v>18803888</c:v>
                </c:pt>
                <c:pt idx="9">
                  <c:v>19430021</c:v>
                </c:pt>
                <c:pt idx="10">
                  <c:v>17894793</c:v>
                </c:pt>
                <c:pt idx="11">
                  <c:v>21746249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B9-450F-90FD-19EB20A9D0D8}"/>
            </c:ext>
          </c:extLst>
        </c:ser>
        <c:ser>
          <c:idx val="1"/>
          <c:order val="1"/>
          <c:tx>
            <c:v>91 Octano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'G-SH-6 CoUtTRvsSEl,21'!$L$10:$L$21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'G-SH-6 CoUtTRvsSEl,21'!$N$10:$N$21</c:f>
              <c:numCache>
                <c:formatCode>#,##0_ ;[Red]\-#,##0\ </c:formatCode>
                <c:ptCount val="12"/>
                <c:pt idx="0">
                  <c:v>5612488</c:v>
                </c:pt>
                <c:pt idx="1">
                  <c:v>6543629</c:v>
                </c:pt>
                <c:pt idx="2">
                  <c:v>8251328</c:v>
                </c:pt>
                <c:pt idx="3">
                  <c:v>7829975.7000000002</c:v>
                </c:pt>
                <c:pt idx="4">
                  <c:v>7986930</c:v>
                </c:pt>
                <c:pt idx="5">
                  <c:v>8177517</c:v>
                </c:pt>
                <c:pt idx="6">
                  <c:v>8012454</c:v>
                </c:pt>
                <c:pt idx="7">
                  <c:v>8310793</c:v>
                </c:pt>
                <c:pt idx="8">
                  <c:v>8278747</c:v>
                </c:pt>
                <c:pt idx="9">
                  <c:v>8585473</c:v>
                </c:pt>
                <c:pt idx="10">
                  <c:v>7771902</c:v>
                </c:pt>
                <c:pt idx="11">
                  <c:v>9437788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B9-450F-90FD-19EB20A9D0D8}"/>
            </c:ext>
          </c:extLst>
        </c:ser>
        <c:ser>
          <c:idx val="3"/>
          <c:order val="2"/>
          <c:tx>
            <c:v>Diesel Liviano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'G-SH-6 CoUtTRvsSEl,21'!$L$10:$L$21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'G-SH-6 CoUtTRvsSEl,21'!$O$10:$O$21</c:f>
              <c:numCache>
                <c:formatCode>#,##0_ ;[Red]\-#,##0\ </c:formatCode>
                <c:ptCount val="12"/>
                <c:pt idx="0">
                  <c:v>23443449</c:v>
                </c:pt>
                <c:pt idx="1">
                  <c:v>26422326</c:v>
                </c:pt>
                <c:pt idx="2">
                  <c:v>31234323</c:v>
                </c:pt>
                <c:pt idx="3">
                  <c:v>29958790</c:v>
                </c:pt>
                <c:pt idx="4">
                  <c:v>28185291</c:v>
                </c:pt>
                <c:pt idx="5">
                  <c:v>28572147</c:v>
                </c:pt>
                <c:pt idx="6">
                  <c:v>28433049</c:v>
                </c:pt>
                <c:pt idx="7">
                  <c:v>28419320</c:v>
                </c:pt>
                <c:pt idx="8">
                  <c:v>29063255</c:v>
                </c:pt>
                <c:pt idx="9">
                  <c:v>29637043</c:v>
                </c:pt>
                <c:pt idx="10">
                  <c:v>26606597</c:v>
                </c:pt>
                <c:pt idx="11">
                  <c:v>33240428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B9-450F-90FD-19EB20A9D0D8}"/>
            </c:ext>
          </c:extLst>
        </c:ser>
        <c:ser>
          <c:idx val="0"/>
          <c:order val="3"/>
          <c:tx>
            <c:v>Total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'G-SH-6 CoUtTRvsSEl,21'!$L$10:$L$21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'G-SH-6 CoUtTRvsSEl,21'!$P$10:$P$21</c:f>
              <c:numCache>
                <c:formatCode>#,##0_ ;[Red]\-#,##0\ </c:formatCode>
                <c:ptCount val="12"/>
                <c:pt idx="0">
                  <c:v>41098587</c:v>
                </c:pt>
                <c:pt idx="1">
                  <c:v>47770269</c:v>
                </c:pt>
                <c:pt idx="2">
                  <c:v>58548023</c:v>
                </c:pt>
                <c:pt idx="3">
                  <c:v>56108049.599999994</c:v>
                </c:pt>
                <c:pt idx="4">
                  <c:v>54580446</c:v>
                </c:pt>
                <c:pt idx="5">
                  <c:v>54880418</c:v>
                </c:pt>
                <c:pt idx="6">
                  <c:v>54481308</c:v>
                </c:pt>
                <c:pt idx="7">
                  <c:v>55471021</c:v>
                </c:pt>
                <c:pt idx="8">
                  <c:v>56145890</c:v>
                </c:pt>
                <c:pt idx="9">
                  <c:v>57652537</c:v>
                </c:pt>
                <c:pt idx="10">
                  <c:v>52273292</c:v>
                </c:pt>
                <c:pt idx="11">
                  <c:v>64424465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B9-450F-90FD-19EB20A9D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9551832"/>
        <c:axId val="279549872"/>
        <c:axId val="0"/>
      </c:bar3DChart>
      <c:dateAx>
        <c:axId val="2795518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49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7954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Galones</a:t>
                </a:r>
              </a:p>
            </c:rich>
          </c:tx>
          <c:layout>
            <c:manualLayout>
              <c:xMode val="edge"/>
              <c:yMode val="edge"/>
              <c:x val="2.4958455636832376E-2"/>
              <c:y val="0.336658354114713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1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017767009892994"/>
          <c:y val="0.90274314214463836"/>
          <c:w val="0.73816614639146438"/>
          <c:h val="6.9825436408977537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SUPERIOR     
EN CENTROAMERICA       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2015</a:t>
            </a:r>
          </a:p>
        </c:rich>
      </c:tx>
      <c:layout>
        <c:manualLayout>
          <c:xMode val="edge"/>
          <c:yMode val="edge"/>
          <c:x val="0.21359223300970873"/>
          <c:y val="3.0991735537190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655391718993E-2"/>
          <c:y val="0.19214895417919742"/>
          <c:w val="0.72954279642450581"/>
          <c:h val="0.62603368942254634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PreProCombCentAmer,15-20'!$X$334:$X$346</c:f>
              <c:numCache>
                <c:formatCode>0.00</c:formatCode>
                <c:ptCount val="13"/>
                <c:pt idx="1">
                  <c:v>4.1560054727224687</c:v>
                </c:pt>
                <c:pt idx="2">
                  <c:v>3.7408287314382487</c:v>
                </c:pt>
                <c:pt idx="3">
                  <c:v>3.9413615072948938</c:v>
                </c:pt>
                <c:pt idx="4">
                  <c:v>4.2297665252594694</c:v>
                </c:pt>
                <c:pt idx="5">
                  <c:v>4.2168553775001065</c:v>
                </c:pt>
                <c:pt idx="6">
                  <c:v>4.4903685429106099</c:v>
                </c:pt>
                <c:pt idx="7">
                  <c:v>4.7030392202896225</c:v>
                </c:pt>
                <c:pt idx="8">
                  <c:v>4.7408034772236824</c:v>
                </c:pt>
                <c:pt idx="9">
                  <c:v>4.5163497984069281</c:v>
                </c:pt>
                <c:pt idx="10">
                  <c:v>3.939910622680701</c:v>
                </c:pt>
                <c:pt idx="11">
                  <c:v>3.9238079461601689</c:v>
                </c:pt>
                <c:pt idx="12">
                  <c:v>3.9199980593605241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FF-4FE8-872C-318A1A7CA35F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PreProCombCentAmer,15-20'!$Y$334:$Y$346</c:f>
              <c:numCache>
                <c:formatCode>0.00</c:formatCode>
                <c:ptCount val="13"/>
                <c:pt idx="1">
                  <c:v>2.7867499999999996</c:v>
                </c:pt>
                <c:pt idx="2">
                  <c:v>2.8282499999999997</c:v>
                </c:pt>
                <c:pt idx="3">
                  <c:v>3.1370000000000005</c:v>
                </c:pt>
                <c:pt idx="4">
                  <c:v>3.1462500000000002</c:v>
                </c:pt>
                <c:pt idx="5">
                  <c:v>3.41675</c:v>
                </c:pt>
                <c:pt idx="6">
                  <c:v>3.6612499999999999</c:v>
                </c:pt>
                <c:pt idx="7">
                  <c:v>3.7757499999999999</c:v>
                </c:pt>
                <c:pt idx="8">
                  <c:v>3.5175000000000001</c:v>
                </c:pt>
                <c:pt idx="9">
                  <c:v>3.02475</c:v>
                </c:pt>
                <c:pt idx="10">
                  <c:v>2.8114999999999997</c:v>
                </c:pt>
                <c:pt idx="11">
                  <c:v>2.7577500000000001</c:v>
                </c:pt>
                <c:pt idx="12">
                  <c:v>2.6479999999999997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FF-4FE8-872C-318A1A7CA35F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PreProCombCentAmer,15-20'!$Z$334:$Z$346</c:f>
              <c:numCache>
                <c:formatCode>0.00</c:formatCode>
                <c:ptCount val="13"/>
                <c:pt idx="1">
                  <c:v>2.7392131556135602</c:v>
                </c:pt>
                <c:pt idx="2">
                  <c:v>2.9338892412073383</c:v>
                </c:pt>
                <c:pt idx="3">
                  <c:v>3.1632948549697173</c:v>
                </c:pt>
                <c:pt idx="4">
                  <c:v>3.217380434820583</c:v>
                </c:pt>
                <c:pt idx="5">
                  <c:v>3.3888425708412604</c:v>
                </c:pt>
                <c:pt idx="6">
                  <c:v>3.4329097122051171</c:v>
                </c:pt>
                <c:pt idx="7">
                  <c:v>3.4496004747623825</c:v>
                </c:pt>
                <c:pt idx="8">
                  <c:v>3.2152242532778184</c:v>
                </c:pt>
                <c:pt idx="9">
                  <c:v>2.9766027592784012</c:v>
                </c:pt>
                <c:pt idx="10">
                  <c:v>2.8622120776115532</c:v>
                </c:pt>
                <c:pt idx="11">
                  <c:v>2.7929929855056423</c:v>
                </c:pt>
                <c:pt idx="12">
                  <c:v>2.656555226473849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FF-4FE8-872C-318A1A7CA35F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PreProCombCentAmer,15-20'!$AA$334:$AA$346</c:f>
              <c:numCache>
                <c:formatCode>0.00</c:formatCode>
                <c:ptCount val="13"/>
                <c:pt idx="1">
                  <c:v>3.5684769505566565</c:v>
                </c:pt>
                <c:pt idx="2">
                  <c:v>3.5818711979762998</c:v>
                </c:pt>
                <c:pt idx="3">
                  <c:v>3.839497315524163</c:v>
                </c:pt>
                <c:pt idx="4">
                  <c:v>3.8688684424856974</c:v>
                </c:pt>
                <c:pt idx="5">
                  <c:v>4.0454576052521283</c:v>
                </c:pt>
                <c:pt idx="6">
                  <c:v>4.1994106693977669</c:v>
                </c:pt>
                <c:pt idx="7">
                  <c:v>4.2743395819631687</c:v>
                </c:pt>
                <c:pt idx="8">
                  <c:v>4.056941737334367</c:v>
                </c:pt>
                <c:pt idx="9">
                  <c:v>3.7177429217510172</c:v>
                </c:pt>
                <c:pt idx="10">
                  <c:v>3.5466939354604383</c:v>
                </c:pt>
                <c:pt idx="11">
                  <c:v>3.4906983926848096</c:v>
                </c:pt>
                <c:pt idx="12">
                  <c:v>3.4153466914214441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0FF-4FE8-872C-318A1A7CA35F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PreProCombCentAmer,15-20'!$AB$334:$AB$346</c:f>
              <c:numCache>
                <c:formatCode>0.00</c:formatCode>
                <c:ptCount val="13"/>
                <c:pt idx="1">
                  <c:v>3.4560412522635726</c:v>
                </c:pt>
                <c:pt idx="2">
                  <c:v>3.5769056915497908</c:v>
                </c:pt>
                <c:pt idx="3">
                  <c:v>3.8374444509756338</c:v>
                </c:pt>
                <c:pt idx="4">
                  <c:v>3.9019977069052958</c:v>
                </c:pt>
                <c:pt idx="5">
                  <c:v>4.2020665253320679</c:v>
                </c:pt>
                <c:pt idx="6">
                  <c:v>4.3986702524624262</c:v>
                </c:pt>
                <c:pt idx="7">
                  <c:v>4.4210501324687828</c:v>
                </c:pt>
                <c:pt idx="8">
                  <c:v>4.0577858274699308</c:v>
                </c:pt>
                <c:pt idx="9">
                  <c:v>3.5336367258058483</c:v>
                </c:pt>
                <c:pt idx="10">
                  <c:v>3.453136790381679</c:v>
                </c:pt>
                <c:pt idx="11">
                  <c:v>3.4062408592975708</c:v>
                </c:pt>
                <c:pt idx="12">
                  <c:v>3.3126609941823051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0FF-4FE8-872C-318A1A7CA35F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PreProCombCentAmer,15-20'!$AC$334:$AC$346</c:f>
              <c:numCache>
                <c:formatCode>0.00</c:formatCode>
                <c:ptCount val="13"/>
                <c:pt idx="1">
                  <c:v>2.7122391000000001</c:v>
                </c:pt>
                <c:pt idx="2">
                  <c:v>2.7169708499999996</c:v>
                </c:pt>
                <c:pt idx="3">
                  <c:v>2.9828952000000006</c:v>
                </c:pt>
                <c:pt idx="4">
                  <c:v>3.0150711000000001</c:v>
                </c:pt>
                <c:pt idx="5">
                  <c:v>3.3103322999999998</c:v>
                </c:pt>
                <c:pt idx="6">
                  <c:v>3.4996022999999998</c:v>
                </c:pt>
                <c:pt idx="7">
                  <c:v>3.6065398499999999</c:v>
                </c:pt>
                <c:pt idx="8">
                  <c:v>3.3425081999999997</c:v>
                </c:pt>
                <c:pt idx="9">
                  <c:v>2.8702795500000002</c:v>
                </c:pt>
                <c:pt idx="10">
                  <c:v>2.6989901999999999</c:v>
                </c:pt>
                <c:pt idx="11">
                  <c:v>2.6459946000000003</c:v>
                </c:pt>
                <c:pt idx="12">
                  <c:v>2.5097202000000003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0FF-4FE8-872C-318A1A7C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548304"/>
        <c:axId val="279551440"/>
      </c:lineChart>
      <c:catAx>
        <c:axId val="2795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828045766123891"/>
              <c:y val="0.92355458666840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1440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79551440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45661200407800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48304"/>
        <c:crosses val="autoZero"/>
        <c:crossBetween val="between"/>
      </c:valAx>
      <c:spPr>
        <a:gradFill rotWithShape="0">
          <a:gsLst>
            <a:gs pos="0">
              <a:srgbClr val="CCFFFF"/>
            </a:gs>
            <a:gs pos="50000">
              <a:srgbClr val="CCFFFF">
                <a:gamma/>
                <a:tint val="0"/>
                <a:invGamma/>
              </a:srgbClr>
            </a:gs>
            <a:gs pos="100000">
              <a:srgbClr val="CC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72596386616716"/>
          <c:y val="0.38636407019370511"/>
          <c:w val="0.1511790637820758"/>
          <c:h val="0.237603522700158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CC99">
            <a:gamma/>
            <a:tint val="0"/>
            <a:invGamma/>
          </a:srgbClr>
        </a:gs>
        <a:gs pos="50000">
          <a:srgbClr val="FFCC99"/>
        </a:gs>
        <a:gs pos="100000">
          <a:srgbClr val="FFCC99">
            <a:gamma/>
            <a:tint val="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REGULAR
 EN CENTROAMERICA  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2015</a:t>
            </a:r>
          </a:p>
        </c:rich>
      </c:tx>
      <c:layout>
        <c:manualLayout>
          <c:xMode val="edge"/>
          <c:yMode val="edge"/>
          <c:x val="0.21823204419889503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1001368402381"/>
          <c:y val="0.19175257731958759"/>
          <c:w val="0.72099496139270869"/>
          <c:h val="0.6268041237113402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PreProCombCentAmer,15-20'!$X$352:$X$363</c:f>
              <c:numCache>
                <c:formatCode>0.00</c:formatCode>
                <c:ptCount val="12"/>
                <c:pt idx="0">
                  <c:v>3.9385539752000276</c:v>
                </c:pt>
                <c:pt idx="1">
                  <c:v>3.5072511106594986</c:v>
                </c:pt>
                <c:pt idx="2">
                  <c:v>3.751848358146094</c:v>
                </c:pt>
                <c:pt idx="3">
                  <c:v>4.0385723556992641</c:v>
                </c:pt>
                <c:pt idx="4">
                  <c:v>4.0411538027181884</c:v>
                </c:pt>
                <c:pt idx="5">
                  <c:v>4.2599141697907807</c:v>
                </c:pt>
                <c:pt idx="6">
                  <c:v>4.4512775878525499</c:v>
                </c:pt>
                <c:pt idx="7">
                  <c:v>4.4816094742032471</c:v>
                </c:pt>
                <c:pt idx="8">
                  <c:v>4.2838937530911583</c:v>
                </c:pt>
                <c:pt idx="9">
                  <c:v>3.7743258086136282</c:v>
                </c:pt>
                <c:pt idx="10">
                  <c:v>3.7625073425197617</c:v>
                </c:pt>
                <c:pt idx="11">
                  <c:v>3.7587101248966741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E2-48F4-BBF7-41E7B8826D78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PreProCombCentAmer,15-20'!$Y$352:$Y$363</c:f>
              <c:numCache>
                <c:formatCode>0.00</c:formatCode>
                <c:ptCount val="12"/>
                <c:pt idx="0">
                  <c:v>2.5460000000000003</c:v>
                </c:pt>
                <c:pt idx="1">
                  <c:v>2.633</c:v>
                </c:pt>
                <c:pt idx="2">
                  <c:v>2.9377500000000003</c:v>
                </c:pt>
                <c:pt idx="3">
                  <c:v>2.9370000000000003</c:v>
                </c:pt>
                <c:pt idx="4">
                  <c:v>3.1420000000000003</c:v>
                </c:pt>
                <c:pt idx="5">
                  <c:v>3.2675000000000001</c:v>
                </c:pt>
                <c:pt idx="6">
                  <c:v>3.2832499999999998</c:v>
                </c:pt>
                <c:pt idx="7">
                  <c:v>3.1180000000000003</c:v>
                </c:pt>
                <c:pt idx="8">
                  <c:v>2.8042499999999997</c:v>
                </c:pt>
                <c:pt idx="9">
                  <c:v>2.6189999999999998</c:v>
                </c:pt>
                <c:pt idx="10">
                  <c:v>2.5505</c:v>
                </c:pt>
                <c:pt idx="11">
                  <c:v>2.4729999999999999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E2-48F4-BBF7-41E7B8826D78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PreProCombCentAmer,15-20'!$Z$352:$Z$363</c:f>
              <c:numCache>
                <c:formatCode>0.00</c:formatCode>
                <c:ptCount val="12"/>
                <c:pt idx="0">
                  <c:v>2.5453797220440264</c:v>
                </c:pt>
                <c:pt idx="1">
                  <c:v>2.7380835910567702</c:v>
                </c:pt>
                <c:pt idx="2">
                  <c:v>2.9658761926973956</c:v>
                </c:pt>
                <c:pt idx="3">
                  <c:v>3.0246068407039637</c:v>
                </c:pt>
                <c:pt idx="4">
                  <c:v>3.1973420088812112</c:v>
                </c:pt>
                <c:pt idx="5">
                  <c:v>3.2377560434906862</c:v>
                </c:pt>
                <c:pt idx="6">
                  <c:v>3.2554205124385494</c:v>
                </c:pt>
                <c:pt idx="7">
                  <c:v>3.0207976057383625</c:v>
                </c:pt>
                <c:pt idx="8">
                  <c:v>2.7840982323762322</c:v>
                </c:pt>
                <c:pt idx="9">
                  <c:v>2.668985555549078</c:v>
                </c:pt>
                <c:pt idx="10">
                  <c:v>2.5996414711407705</c:v>
                </c:pt>
                <c:pt idx="11">
                  <c:v>2.4621825148194434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E2-48F4-BBF7-41E7B8826D78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PreProCombCentAmer,15-20'!$AA$352:$AA$363</c:f>
              <c:numCache>
                <c:formatCode>0.00</c:formatCode>
                <c:ptCount val="12"/>
                <c:pt idx="0">
                  <c:v>3.2636125658632356</c:v>
                </c:pt>
                <c:pt idx="1">
                  <c:v>3.3009642978981852</c:v>
                </c:pt>
                <c:pt idx="2">
                  <c:v>3.5644515802237784</c:v>
                </c:pt>
                <c:pt idx="3">
                  <c:v>3.596600094621464</c:v>
                </c:pt>
                <c:pt idx="4">
                  <c:v>3.7393280419761425</c:v>
                </c:pt>
                <c:pt idx="5">
                  <c:v>3.8417328888275741</c:v>
                </c:pt>
                <c:pt idx="6">
                  <c:v>3.8691344247390127</c:v>
                </c:pt>
                <c:pt idx="7">
                  <c:v>3.6836099434282201</c:v>
                </c:pt>
                <c:pt idx="8">
                  <c:v>3.4237221950957113</c:v>
                </c:pt>
                <c:pt idx="9">
                  <c:v>3.2630402489870982</c:v>
                </c:pt>
                <c:pt idx="10">
                  <c:v>3.2034866256040844</c:v>
                </c:pt>
                <c:pt idx="11">
                  <c:v>3.1409388021523235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AE2-48F4-BBF7-41E7B8826D78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PreProCombCentAmer,15-20'!$AB$352:$AB$363</c:f>
              <c:numCache>
                <c:formatCode>0.00</c:formatCode>
                <c:ptCount val="12"/>
                <c:pt idx="0">
                  <c:v>3.2235141170103736</c:v>
                </c:pt>
                <c:pt idx="1">
                  <c:v>3.4078533748007076</c:v>
                </c:pt>
                <c:pt idx="2">
                  <c:v>3.6563268898910595</c:v>
                </c:pt>
                <c:pt idx="3">
                  <c:v>3.7219693452456637</c:v>
                </c:pt>
                <c:pt idx="4">
                  <c:v>3.9260278705872329</c:v>
                </c:pt>
                <c:pt idx="5">
                  <c:v>3.9872079121979556</c:v>
                </c:pt>
                <c:pt idx="6">
                  <c:v>4.020869537320249</c:v>
                </c:pt>
                <c:pt idx="7">
                  <c:v>3.7156938014191185</c:v>
                </c:pt>
                <c:pt idx="8">
                  <c:v>3.3321393606011718</c:v>
                </c:pt>
                <c:pt idx="9">
                  <c:v>3.2522582426938924</c:v>
                </c:pt>
                <c:pt idx="10">
                  <c:v>3.2067992632190649</c:v>
                </c:pt>
                <c:pt idx="11">
                  <c:v>3.1652335552427413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AE2-48F4-BBF7-41E7B8826D78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PreProCombCentAmer,15-20'!$AC$352:$AC$363</c:f>
              <c:numCache>
                <c:formatCode>0.00</c:formatCode>
                <c:ptCount val="12"/>
                <c:pt idx="0">
                  <c:v>2.4784906500000004</c:v>
                </c:pt>
                <c:pt idx="1">
                  <c:v>2.5390570500000003</c:v>
                </c:pt>
                <c:pt idx="2">
                  <c:v>2.8134985500000003</c:v>
                </c:pt>
                <c:pt idx="3">
                  <c:v>2.8655477999999999</c:v>
                </c:pt>
                <c:pt idx="4">
                  <c:v>3.0699594000000001</c:v>
                </c:pt>
                <c:pt idx="5">
                  <c:v>3.1399892999999999</c:v>
                </c:pt>
                <c:pt idx="6">
                  <c:v>3.2147509500000004</c:v>
                </c:pt>
                <c:pt idx="7">
                  <c:v>2.99519775</c:v>
                </c:pt>
                <c:pt idx="8">
                  <c:v>2.6393701500000004</c:v>
                </c:pt>
                <c:pt idx="9">
                  <c:v>2.5097202000000003</c:v>
                </c:pt>
                <c:pt idx="10">
                  <c:v>2.4491538000000004</c:v>
                </c:pt>
                <c:pt idx="11">
                  <c:v>2.3545188000000001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AE2-48F4-BBF7-41E7B8826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552224"/>
        <c:axId val="279554184"/>
      </c:lineChart>
      <c:catAx>
        <c:axId val="27955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4337045576485257"/>
              <c:y val="0.92371134020618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4184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79554184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099447513812154E-2"/>
              <c:y val="0.457731958762886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2224"/>
        <c:crosses val="autoZero"/>
        <c:crossBetween val="between"/>
      </c:valAx>
      <c:spPr>
        <a:gradFill rotWithShape="0">
          <a:gsLst>
            <a:gs pos="0">
              <a:srgbClr val="FFCC99">
                <a:gamma/>
                <a:tint val="0"/>
                <a:invGamma/>
              </a:srgbClr>
            </a:gs>
            <a:gs pos="50000">
              <a:srgbClr val="FFCC99"/>
            </a:gs>
            <a:gs pos="100000">
              <a:srgbClr val="FFCC99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39837009324103"/>
          <c:y val="0.38762886597938145"/>
          <c:w val="0.15055263119734341"/>
          <c:h val="0.23711340206185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DIESEL
 EN CENTROAMERICA  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2015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8656716417910449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26112790136"/>
          <c:y val="0.17695508808169388"/>
          <c:w val="0.7074632021507713"/>
          <c:h val="0.64403421592523469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PreProCombCentAmer,15-20'!$X$369:$X$380</c:f>
              <c:numCache>
                <c:formatCode>0.00</c:formatCode>
                <c:ptCount val="12"/>
                <c:pt idx="0">
                  <c:v>3.7003397759213836</c:v>
                </c:pt>
                <c:pt idx="1">
                  <c:v>3.3050437901642198</c:v>
                </c:pt>
                <c:pt idx="2">
                  <c:v>3.4271845658940507</c:v>
                </c:pt>
                <c:pt idx="3">
                  <c:v>3.5187324318398341</c:v>
                </c:pt>
                <c:pt idx="4">
                  <c:v>3.3596469052294911</c:v>
                </c:pt>
                <c:pt idx="5">
                  <c:v>3.5895014479876415</c:v>
                </c:pt>
                <c:pt idx="6">
                  <c:v>3.4855670892908006</c:v>
                </c:pt>
                <c:pt idx="7">
                  <c:v>3.3450070590375405</c:v>
                </c:pt>
                <c:pt idx="8">
                  <c:v>3.2019977920222216</c:v>
                </c:pt>
                <c:pt idx="9">
                  <c:v>3.2062762939782927</c:v>
                </c:pt>
                <c:pt idx="10">
                  <c:v>3.1506192912126494</c:v>
                </c:pt>
                <c:pt idx="11">
                  <c:v>3.1486209814899384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94-4B69-95B1-25F121835C2B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PreProCombCentAmer,15-20'!$Y$369:$Y$380</c:f>
              <c:numCache>
                <c:formatCode>0.00</c:formatCode>
                <c:ptCount val="12"/>
                <c:pt idx="0">
                  <c:v>2.66825</c:v>
                </c:pt>
                <c:pt idx="1">
                  <c:v>2.6480000000000001</c:v>
                </c:pt>
                <c:pt idx="2">
                  <c:v>2.8362500000000002</c:v>
                </c:pt>
                <c:pt idx="3">
                  <c:v>2.6617500000000001</c:v>
                </c:pt>
                <c:pt idx="4">
                  <c:v>2.8652500000000001</c:v>
                </c:pt>
                <c:pt idx="5">
                  <c:v>2.8994999999999997</c:v>
                </c:pt>
                <c:pt idx="6">
                  <c:v>2.7497500000000001</c:v>
                </c:pt>
                <c:pt idx="7">
                  <c:v>2.5622500000000001</c:v>
                </c:pt>
                <c:pt idx="8">
                  <c:v>2.4322499999999998</c:v>
                </c:pt>
                <c:pt idx="9">
                  <c:v>2.4452499999999997</c:v>
                </c:pt>
                <c:pt idx="10">
                  <c:v>2.41275</c:v>
                </c:pt>
                <c:pt idx="11">
                  <c:v>2.2357499999999999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94-4B69-95B1-25F121835C2B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PreProCombCentAmer,15-20'!$Z$369:$Z$380</c:f>
              <c:numCache>
                <c:formatCode>0.00</c:formatCode>
                <c:ptCount val="12"/>
                <c:pt idx="0">
                  <c:v>2.4696493312768566</c:v>
                </c:pt>
                <c:pt idx="1">
                  <c:v>2.5900118148042237</c:v>
                </c:pt>
                <c:pt idx="2">
                  <c:v>2.659906608483511</c:v>
                </c:pt>
                <c:pt idx="3">
                  <c:v>2.6053485769474514</c:v>
                </c:pt>
                <c:pt idx="4">
                  <c:v>2.7730960712247716</c:v>
                </c:pt>
                <c:pt idx="5">
                  <c:v>2.7122032675430887</c:v>
                </c:pt>
                <c:pt idx="6">
                  <c:v>2.5327206864716079</c:v>
                </c:pt>
                <c:pt idx="7">
                  <c:v>2.3029916387232952</c:v>
                </c:pt>
                <c:pt idx="8">
                  <c:v>2.2764553507791208</c:v>
                </c:pt>
                <c:pt idx="9">
                  <c:v>2.2965836544926006</c:v>
                </c:pt>
                <c:pt idx="10">
                  <c:v>2.2701160038248944</c:v>
                </c:pt>
                <c:pt idx="11">
                  <c:v>2.0892552217908777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94-4B69-95B1-25F121835C2B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PreProCombCentAmer,15-20'!$AA$369:$AA$380</c:f>
              <c:numCache>
                <c:formatCode>0.00</c:formatCode>
                <c:ptCount val="12"/>
                <c:pt idx="0">
                  <c:v>3.1143605611951131</c:v>
                </c:pt>
                <c:pt idx="1">
                  <c:v>3.0666671508839789</c:v>
                </c:pt>
                <c:pt idx="2">
                  <c:v>3.2175750551586857</c:v>
                </c:pt>
                <c:pt idx="3">
                  <c:v>3.1040912128704736</c:v>
                </c:pt>
                <c:pt idx="4">
                  <c:v>3.2972980252739155</c:v>
                </c:pt>
                <c:pt idx="5">
                  <c:v>3.3202582044352091</c:v>
                </c:pt>
                <c:pt idx="6">
                  <c:v>3.1853206419428925</c:v>
                </c:pt>
                <c:pt idx="7">
                  <c:v>3.0044690284685309</c:v>
                </c:pt>
                <c:pt idx="8">
                  <c:v>2.9025152017190572</c:v>
                </c:pt>
                <c:pt idx="9">
                  <c:v>2.8814210948336205</c:v>
                </c:pt>
                <c:pt idx="10">
                  <c:v>2.8551642945280902</c:v>
                </c:pt>
                <c:pt idx="11">
                  <c:v>2.7395516384761054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94-4B69-95B1-25F121835C2B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PreProCombCentAmer,15-20'!$AB$369:$AB$380</c:f>
              <c:numCache>
                <c:formatCode>0.00</c:formatCode>
                <c:ptCount val="12"/>
                <c:pt idx="0">
                  <c:v>3.0808462234769891</c:v>
                </c:pt>
                <c:pt idx="1">
                  <c:v>3.1479061058078148</c:v>
                </c:pt>
                <c:pt idx="2">
                  <c:v>3.2501504001658308</c:v>
                </c:pt>
                <c:pt idx="3">
                  <c:v>3.1859532757338118</c:v>
                </c:pt>
                <c:pt idx="4">
                  <c:v>3.3679920601840267</c:v>
                </c:pt>
                <c:pt idx="5">
                  <c:v>3.3074228031907094</c:v>
                </c:pt>
                <c:pt idx="6">
                  <c:v>3.1543496722314375</c:v>
                </c:pt>
                <c:pt idx="7">
                  <c:v>2.9424395980982445</c:v>
                </c:pt>
                <c:pt idx="8">
                  <c:v>2.8871274678734378</c:v>
                </c:pt>
                <c:pt idx="9">
                  <c:v>2.8956170929408609</c:v>
                </c:pt>
                <c:pt idx="10">
                  <c:v>2.855973554453084</c:v>
                </c:pt>
                <c:pt idx="11">
                  <c:v>2.6201749169851341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94-4B69-95B1-25F121835C2B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PreProCombCentAmer,15-20'!$AC$369:$AC$380</c:f>
              <c:numCache>
                <c:formatCode>0.00</c:formatCode>
                <c:ptCount val="12"/>
                <c:pt idx="0">
                  <c:v>2.3933191500000004</c:v>
                </c:pt>
                <c:pt idx="1">
                  <c:v>2.3942654999999999</c:v>
                </c:pt>
                <c:pt idx="2">
                  <c:v>2.5901599499999999</c:v>
                </c:pt>
                <c:pt idx="3">
                  <c:v>2.4661881000000001</c:v>
                </c:pt>
                <c:pt idx="4">
                  <c:v>2.6705996999999999</c:v>
                </c:pt>
                <c:pt idx="5">
                  <c:v>2.6592435000000001</c:v>
                </c:pt>
                <c:pt idx="6">
                  <c:v>2.5248618</c:v>
                </c:pt>
                <c:pt idx="7">
                  <c:v>2.3431626000000003</c:v>
                </c:pt>
                <c:pt idx="8">
                  <c:v>2.2371714000000003</c:v>
                </c:pt>
                <c:pt idx="9">
                  <c:v>2.2258151999999995</c:v>
                </c:pt>
                <c:pt idx="10">
                  <c:v>2.1955319999999996</c:v>
                </c:pt>
                <c:pt idx="11">
                  <c:v>2.0649357000000004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94-4B69-95B1-25F121835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553400"/>
        <c:axId val="279555360"/>
      </c:lineChart>
      <c:catAx>
        <c:axId val="27955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432867160261684"/>
              <c:y val="0.92592787012734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5360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79555360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3880597014925373E-2"/>
              <c:y val="0.45267576120886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3400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37376111568139"/>
          <c:y val="0.38065930030351142"/>
          <c:w val="0.16268672386100991"/>
          <c:h val="0.23662594644805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SUPERIOR     
EN CENTROAMERICA       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2017</a:t>
            </a:r>
          </a:p>
        </c:rich>
      </c:tx>
      <c:layout>
        <c:manualLayout>
          <c:xMode val="edge"/>
          <c:yMode val="edge"/>
          <c:x val="0.21359223300970873"/>
          <c:y val="3.0991735537190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655391718993E-2"/>
          <c:y val="0.19214895417919742"/>
          <c:w val="0.72954279642450581"/>
          <c:h val="0.62603368942254634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PreProCombCentAmer,15-20'!$X$209:$X$220</c:f>
              <c:numCache>
                <c:formatCode>0.00</c:formatCode>
                <c:ptCount val="12"/>
                <c:pt idx="0">
                  <c:v>3.9469247748235001</c:v>
                </c:pt>
                <c:pt idx="1">
                  <c:v>4.0744090712177705</c:v>
                </c:pt>
                <c:pt idx="2">
                  <c:v>3.9937131150894842</c:v>
                </c:pt>
                <c:pt idx="3">
                  <c:v>3.9925484100250603</c:v>
                </c:pt>
                <c:pt idx="4">
                  <c:v>3.9611609252471354</c:v>
                </c:pt>
                <c:pt idx="5">
                  <c:v>3.8988313692423096</c:v>
                </c:pt>
                <c:pt idx="6">
                  <c:v>3.8507644426501835</c:v>
                </c:pt>
                <c:pt idx="7">
                  <c:v>3.8262529237234753</c:v>
                </c:pt>
                <c:pt idx="8">
                  <c:v>3.9896303952251184</c:v>
                </c:pt>
                <c:pt idx="9">
                  <c:v>4.1648281086031105</c:v>
                </c:pt>
                <c:pt idx="10">
                  <c:v>4.0528422603129375</c:v>
                </c:pt>
                <c:pt idx="11">
                  <c:v>4.18279247554403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21-4837-8F25-22F96BA17D69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PreProCombCentAmer,15-20'!$Y$209:$Y$220</c:f>
              <c:numCache>
                <c:formatCode>0.00</c:formatCode>
                <c:ptCount val="12"/>
                <c:pt idx="0">
                  <c:v>3.0775000000000001</c:v>
                </c:pt>
                <c:pt idx="1">
                  <c:v>3.0479999999999996</c:v>
                </c:pt>
                <c:pt idx="2">
                  <c:v>3.008</c:v>
                </c:pt>
                <c:pt idx="3">
                  <c:v>3.03925</c:v>
                </c:pt>
                <c:pt idx="4">
                  <c:v>3.0779999999999998</c:v>
                </c:pt>
                <c:pt idx="5">
                  <c:v>3.06</c:v>
                </c:pt>
                <c:pt idx="6">
                  <c:v>2.911</c:v>
                </c:pt>
                <c:pt idx="7">
                  <c:v>3.0699999999999994</c:v>
                </c:pt>
                <c:pt idx="8">
                  <c:v>3.3025000000000002</c:v>
                </c:pt>
                <c:pt idx="9">
                  <c:v>3.2439999999999998</c:v>
                </c:pt>
                <c:pt idx="10">
                  <c:v>3.1875</c:v>
                </c:pt>
                <c:pt idx="11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21-4837-8F25-22F96BA17D69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PreProCombCentAmer,15-20'!$Z$209:$Z$220</c:f>
              <c:numCache>
                <c:formatCode>0.00</c:formatCode>
                <c:ptCount val="12"/>
                <c:pt idx="0">
                  <c:v>3.11</c:v>
                </c:pt>
                <c:pt idx="1">
                  <c:v>3.13</c:v>
                </c:pt>
                <c:pt idx="2">
                  <c:v>3.46</c:v>
                </c:pt>
                <c:pt idx="3">
                  <c:v>3.23</c:v>
                </c:pt>
                <c:pt idx="4">
                  <c:v>3.13</c:v>
                </c:pt>
                <c:pt idx="5">
                  <c:v>3.11</c:v>
                </c:pt>
                <c:pt idx="6">
                  <c:v>3.75</c:v>
                </c:pt>
                <c:pt idx="7">
                  <c:v>3.63</c:v>
                </c:pt>
                <c:pt idx="8">
                  <c:v>3.41</c:v>
                </c:pt>
                <c:pt idx="9">
                  <c:v>3.38</c:v>
                </c:pt>
                <c:pt idx="10">
                  <c:v>3.31</c:v>
                </c:pt>
                <c:pt idx="11">
                  <c:v>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21-4837-8F25-22F96BA17D69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PreProCombCentAmer,15-20'!$AA$209:$AA$220</c:f>
              <c:numCache>
                <c:formatCode>0.00</c:formatCode>
                <c:ptCount val="12"/>
                <c:pt idx="0">
                  <c:v>3.7825678277305768</c:v>
                </c:pt>
                <c:pt idx="1">
                  <c:v>3.7604672151790504</c:v>
                </c:pt>
                <c:pt idx="2">
                  <c:v>3.6534561434260349</c:v>
                </c:pt>
                <c:pt idx="3">
                  <c:v>3.6485633825043626</c:v>
                </c:pt>
                <c:pt idx="4">
                  <c:v>3.6727327174621052</c:v>
                </c:pt>
                <c:pt idx="5">
                  <c:v>3.6262517328026811</c:v>
                </c:pt>
                <c:pt idx="6">
                  <c:v>3.5449481114285684</c:v>
                </c:pt>
                <c:pt idx="7">
                  <c:v>3.6600198300418136</c:v>
                </c:pt>
                <c:pt idx="8">
                  <c:v>3.8721793232843487</c:v>
                </c:pt>
                <c:pt idx="9">
                  <c:v>3.842999853119212</c:v>
                </c:pt>
                <c:pt idx="10">
                  <c:v>3.8085979639586132</c:v>
                </c:pt>
                <c:pt idx="11">
                  <c:v>3.8112690544916279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721-4837-8F25-22F96BA17D69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PreProCombCentAmer,15-20'!$AB$209:$AB$220</c:f>
              <c:numCache>
                <c:formatCode>0.00</c:formatCode>
                <c:ptCount val="12"/>
                <c:pt idx="0">
                  <c:v>3.6949999999999998</c:v>
                </c:pt>
                <c:pt idx="1">
                  <c:v>3.5920000000000001</c:v>
                </c:pt>
                <c:pt idx="2">
                  <c:v>3.5724999999999998</c:v>
                </c:pt>
                <c:pt idx="3">
                  <c:v>3.6524999999999999</c:v>
                </c:pt>
                <c:pt idx="4">
                  <c:v>3.6280000000000001</c:v>
                </c:pt>
                <c:pt idx="5">
                  <c:v>3.5449999999999999</c:v>
                </c:pt>
                <c:pt idx="6">
                  <c:v>3.4975000000000001</c:v>
                </c:pt>
                <c:pt idx="7">
                  <c:v>3.6459999999999999</c:v>
                </c:pt>
                <c:pt idx="8">
                  <c:v>3.8724999999999996</c:v>
                </c:pt>
                <c:pt idx="9">
                  <c:v>3.7039999999999997</c:v>
                </c:pt>
                <c:pt idx="10">
                  <c:v>3.7699999999999996</c:v>
                </c:pt>
                <c:pt idx="11">
                  <c:v>3.6875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721-4837-8F25-22F96BA17D69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PreProCombCentAmer,15-20'!$W$335:$W$346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PreProCombCentAmer,15-20'!$AC$209:$AC$220</c:f>
              <c:numCache>
                <c:formatCode>0.00</c:formatCode>
                <c:ptCount val="12"/>
                <c:pt idx="0">
                  <c:v>2.91</c:v>
                </c:pt>
                <c:pt idx="1">
                  <c:v>2.84</c:v>
                </c:pt>
                <c:pt idx="2">
                  <c:v>2.76</c:v>
                </c:pt>
                <c:pt idx="3">
                  <c:v>2.84</c:v>
                </c:pt>
                <c:pt idx="4">
                  <c:v>2.84</c:v>
                </c:pt>
                <c:pt idx="5">
                  <c:v>2.76</c:v>
                </c:pt>
                <c:pt idx="6">
                  <c:v>2.69</c:v>
                </c:pt>
                <c:pt idx="7">
                  <c:v>2.84</c:v>
                </c:pt>
                <c:pt idx="8">
                  <c:v>3.12</c:v>
                </c:pt>
                <c:pt idx="9">
                  <c:v>3.05</c:v>
                </c:pt>
                <c:pt idx="10">
                  <c:v>3.06</c:v>
                </c:pt>
                <c:pt idx="11">
                  <c:v>2.97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721-4837-8F25-22F96BA1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547912"/>
        <c:axId val="279552616"/>
      </c:lineChart>
      <c:catAx>
        <c:axId val="279547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828045766123891"/>
              <c:y val="0.92355458666840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2616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7955261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456612004078002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47912"/>
        <c:crosses val="autoZero"/>
        <c:crossBetween val="between"/>
      </c:valAx>
      <c:spPr>
        <a:gradFill rotWithShape="0">
          <a:gsLst>
            <a:gs pos="0">
              <a:srgbClr val="CCFFFF"/>
            </a:gs>
            <a:gs pos="50000">
              <a:srgbClr val="CCFFFF">
                <a:gamma/>
                <a:tint val="0"/>
                <a:invGamma/>
              </a:srgbClr>
            </a:gs>
            <a:gs pos="100000">
              <a:srgbClr val="CC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72596386616716"/>
          <c:y val="0.38636407019370511"/>
          <c:w val="0.1511790637820758"/>
          <c:h val="0.237603522700158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CC99">
            <a:gamma/>
            <a:tint val="0"/>
            <a:invGamma/>
          </a:srgbClr>
        </a:gs>
        <a:gs pos="50000">
          <a:srgbClr val="FFCC99"/>
        </a:gs>
        <a:gs pos="100000">
          <a:srgbClr val="FFCC99">
            <a:gamma/>
            <a:tint val="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33363172791714"/>
          <c:y val="5.5000067138753904E-2"/>
          <c:w val="0.79000128580938445"/>
          <c:h val="0.552500674439299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'G-SH-3 EstCosBarrPetrImp,96-02'!$M$4</c:f>
              <c:strCache>
                <c:ptCount val="1"/>
                <c:pt idx="0">
                  <c:v>Valor FOB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'G-SH-3 EstCosBarrPetrImp,96-02'!$K$6:$K$12</c:f>
              <c:numCache>
                <c:formatCode>General</c:formatCode>
                <c:ptCount val="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</c:numCache>
            </c:numRef>
          </c:cat>
          <c:val>
            <c:numRef>
              <c:f>'G-SH-3 EstCosBarrPetrImp,96-02'!$N$6:$N$12</c:f>
              <c:numCache>
                <c:formatCode>0.00</c:formatCode>
                <c:ptCount val="7"/>
                <c:pt idx="0">
                  <c:v>19.34</c:v>
                </c:pt>
                <c:pt idx="1">
                  <c:v>16.670000000000002</c:v>
                </c:pt>
                <c:pt idx="2">
                  <c:v>10.06</c:v>
                </c:pt>
                <c:pt idx="3">
                  <c:v>16.079999999999998</c:v>
                </c:pt>
                <c:pt idx="4" formatCode="#,##0.00">
                  <c:v>27.12</c:v>
                </c:pt>
                <c:pt idx="5" formatCode="#,##0.00">
                  <c:v>20.94</c:v>
                </c:pt>
                <c:pt idx="6" formatCode="#,##0.00">
                  <c:v>21.662571872836324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81-47DD-843A-82CB28697115}"/>
            </c:ext>
          </c:extLst>
        </c:ser>
        <c:ser>
          <c:idx val="1"/>
          <c:order val="1"/>
          <c:tx>
            <c:strRef>
              <c:f>'G-SH-3 EstCosBarrPetrImp,96-02'!$O$4</c:f>
              <c:strCache>
                <c:ptCount val="1"/>
                <c:pt idx="0">
                  <c:v>Flete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'G-SH-3 EstCosBarrPetrImp,96-02'!$K$6:$K$12</c:f>
              <c:numCache>
                <c:formatCode>General</c:formatCode>
                <c:ptCount val="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</c:numCache>
            </c:numRef>
          </c:cat>
          <c:val>
            <c:numRef>
              <c:f>'G-SH-3 EstCosBarrPetrImp,96-02'!$P$6:$P$12</c:f>
              <c:numCache>
                <c:formatCode>0.00</c:formatCode>
                <c:ptCount val="7"/>
                <c:pt idx="0">
                  <c:v>0.8</c:v>
                </c:pt>
                <c:pt idx="1">
                  <c:v>1.01</c:v>
                </c:pt>
                <c:pt idx="2">
                  <c:v>0.86</c:v>
                </c:pt>
                <c:pt idx="3">
                  <c:v>0.69</c:v>
                </c:pt>
                <c:pt idx="4" formatCode="#,##0.00">
                  <c:v>1.19</c:v>
                </c:pt>
                <c:pt idx="5" formatCode="#,##0.00">
                  <c:v>1.18</c:v>
                </c:pt>
                <c:pt idx="6" formatCode="#,##0.00">
                  <c:v>0.8547379051204903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81-47DD-843A-82CB28697115}"/>
            </c:ext>
          </c:extLst>
        </c:ser>
        <c:ser>
          <c:idx val="2"/>
          <c:order val="2"/>
          <c:tx>
            <c:strRef>
              <c:f>'G-SH-3 EstCosBarrPetrImp,96-02'!$Q$4</c:f>
              <c:strCache>
                <c:ptCount val="1"/>
                <c:pt idx="0">
                  <c:v>Seguro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'G-SH-3 EstCosBarrPetrImp,96-02'!$K$6:$K$12</c:f>
              <c:numCache>
                <c:formatCode>General</c:formatCode>
                <c:ptCount val="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</c:numCache>
            </c:numRef>
          </c:cat>
          <c:val>
            <c:numRef>
              <c:f>'G-SH-3 EstCosBarrPetrImp,96-02'!$R$6:$R$12</c:f>
              <c:numCache>
                <c:formatCode>0.00</c:formatCode>
                <c:ptCount val="7"/>
                <c:pt idx="0" formatCode="0.0000">
                  <c:v>7.9000000000000008E-3</c:v>
                </c:pt>
                <c:pt idx="1">
                  <c:v>0.01</c:v>
                </c:pt>
                <c:pt idx="2" formatCode="0.0000">
                  <c:v>4.3E-3</c:v>
                </c:pt>
                <c:pt idx="3" formatCode="0.0000">
                  <c:v>5.4000000000000003E-3</c:v>
                </c:pt>
                <c:pt idx="4" formatCode="0.0000_)">
                  <c:v>8.5000000000000006E-3</c:v>
                </c:pt>
                <c:pt idx="5" formatCode="0.0000_)">
                  <c:v>6.6E-3</c:v>
                </c:pt>
                <c:pt idx="6" formatCode="0.0000_)">
                  <c:v>4.7310219899511377E-3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81-47DD-843A-82CB28697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7054080"/>
        <c:axId val="277054864"/>
      </c:barChart>
      <c:lineChart>
        <c:grouping val="standard"/>
        <c:varyColors val="0"/>
        <c:ser>
          <c:idx val="3"/>
          <c:order val="3"/>
          <c:tx>
            <c:strRef>
              <c:f>'G-SH-3 EstCosBarrPetrImp,96-02'!$S$5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752564371081038E-4"/>
                  <c:y val="-2.1393157558148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181-47DD-843A-82CB286971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921130626486812E-3"/>
                  <c:y val="-1.8480226475244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181-47DD-843A-82CB286971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9365182106839163E-2"/>
                  <c:y val="-5.7876155189862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181-47DD-843A-82CB286971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2224528622247E-2"/>
                  <c:y val="-3.6091247045530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181-47DD-843A-82CB286971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079426568971297E-2"/>
                  <c:y val="-1.8557153760776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181-47DD-843A-82CB2869711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93659966794795E-2"/>
                  <c:y val="-3.0135216395796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181-47DD-843A-82CB2869711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5793662893069895E-2"/>
                  <c:y val="-3.6471192711615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181-47DD-843A-82CB286971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'G-SH-3 EstCosBarrPetrImp,96-02'!$K$6:$K$12</c:f>
              <c:numCache>
                <c:formatCode>General</c:formatCode>
                <c:ptCount val="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</c:numCache>
            </c:numRef>
          </c:cat>
          <c:val>
            <c:numRef>
              <c:f>'G-SH-3 EstCosBarrPetrImp,96-02'!$T$6:$T$12</c:f>
              <c:numCache>
                <c:formatCode>0.00</c:formatCode>
                <c:ptCount val="7"/>
                <c:pt idx="0">
                  <c:v>20.149999999999999</c:v>
                </c:pt>
                <c:pt idx="1">
                  <c:v>17.68</c:v>
                </c:pt>
                <c:pt idx="2">
                  <c:v>10.92</c:v>
                </c:pt>
                <c:pt idx="3">
                  <c:v>16.77</c:v>
                </c:pt>
                <c:pt idx="4" formatCode="#,##0.00">
                  <c:v>28.31</c:v>
                </c:pt>
                <c:pt idx="5" formatCode="#,##0.00">
                  <c:v>22.13</c:v>
                </c:pt>
                <c:pt idx="6" formatCode="#,##0.00">
                  <c:v>22.522040799946765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181-47DD-843A-82CB28697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54080"/>
        <c:axId val="277054864"/>
      </c:lineChart>
      <c:catAx>
        <c:axId val="27705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5166754155730535"/>
              <c:y val="0.90250104986876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054864"/>
        <c:crossesAt val="0"/>
        <c:auto val="1"/>
        <c:lblAlgn val="ctr"/>
        <c:lblOffset val="100"/>
        <c:tickMarkSkip val="1"/>
        <c:noMultiLvlLbl val="0"/>
      </c:catAx>
      <c:valAx>
        <c:axId val="27705486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s-ES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B/.</a:t>
                </a:r>
              </a:p>
            </c:rich>
          </c:tx>
          <c:layout>
            <c:manualLayout>
              <c:xMode val="edge"/>
              <c:yMode val="edge"/>
              <c:x val="4.3333333333333335E-2"/>
              <c:y val="0.302500262467191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054080"/>
        <c:crosses val="autoZero"/>
        <c:crossBetween val="between"/>
        <c:majorUnit val="5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36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REGULAR
 EN CENTROAMERICA  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2017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1823204419889503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1001368402381"/>
          <c:y val="0.19175257731958759"/>
          <c:w val="0.72099496139270869"/>
          <c:h val="0.6268041237113402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PreProCombCentAmer,15-20'!$X$226:$X$237</c:f>
              <c:numCache>
                <c:formatCode>0.00</c:formatCode>
                <c:ptCount val="12"/>
                <c:pt idx="0">
                  <c:v>3.7217677124218169</c:v>
                </c:pt>
                <c:pt idx="1">
                  <c:v>3.8748610868760323</c:v>
                </c:pt>
                <c:pt idx="2">
                  <c:v>3.8074624020642522</c:v>
                </c:pt>
                <c:pt idx="3">
                  <c:v>3.8056004444872054</c:v>
                </c:pt>
                <c:pt idx="4">
                  <c:v>3.7779392860356906</c:v>
                </c:pt>
                <c:pt idx="5">
                  <c:v>3.7169609636356764</c:v>
                </c:pt>
                <c:pt idx="6">
                  <c:v>3.6761448304910478</c:v>
                </c:pt>
                <c:pt idx="7">
                  <c:v>3.6715342092719219</c:v>
                </c:pt>
                <c:pt idx="8">
                  <c:v>3.814512990425893</c:v>
                </c:pt>
                <c:pt idx="9">
                  <c:v>3.9758246141984452</c:v>
                </c:pt>
                <c:pt idx="10">
                  <c:v>3.8979080887333959</c:v>
                </c:pt>
                <c:pt idx="11">
                  <c:v>4.0303733243696476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A7-4A6F-B4D8-0D8185460854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PreProCombCentAmer,15-20'!$Y$226:$Y$237</c:f>
              <c:numCache>
                <c:formatCode>0.00</c:formatCode>
                <c:ptCount val="12"/>
                <c:pt idx="0">
                  <c:v>2.895</c:v>
                </c:pt>
                <c:pt idx="1">
                  <c:v>2.8340000000000005</c:v>
                </c:pt>
                <c:pt idx="2">
                  <c:v>2.8094999999999999</c:v>
                </c:pt>
                <c:pt idx="3">
                  <c:v>2.8579999999999997</c:v>
                </c:pt>
                <c:pt idx="4">
                  <c:v>2.8559999999999999</c:v>
                </c:pt>
                <c:pt idx="5">
                  <c:v>2.8200000000000003</c:v>
                </c:pt>
                <c:pt idx="6">
                  <c:v>2.7352500000000002</c:v>
                </c:pt>
                <c:pt idx="7">
                  <c:v>2.8720000000000003</c:v>
                </c:pt>
                <c:pt idx="8">
                  <c:v>3.0174999999999996</c:v>
                </c:pt>
                <c:pt idx="9">
                  <c:v>2.9680000000000004</c:v>
                </c:pt>
                <c:pt idx="10">
                  <c:v>2.9874999999999998</c:v>
                </c:pt>
                <c:pt idx="11">
                  <c:v>3.085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A7-4A6F-B4D8-0D8185460854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PreProCombCentAmer,15-20'!$Z$226:$Z$237</c:f>
              <c:numCache>
                <c:formatCode>0.00</c:formatCode>
                <c:ptCount val="12"/>
                <c:pt idx="0">
                  <c:v>2.9875675068913776</c:v>
                </c:pt>
                <c:pt idx="1">
                  <c:v>2.908915388698381</c:v>
                </c:pt>
                <c:pt idx="2">
                  <c:v>2.8662907989903283</c:v>
                </c:pt>
                <c:pt idx="3">
                  <c:v>2.9817248334157984</c:v>
                </c:pt>
                <c:pt idx="4">
                  <c:v>2.894407317426662</c:v>
                </c:pt>
                <c:pt idx="5">
                  <c:v>2.8499117581231168</c:v>
                </c:pt>
                <c:pt idx="6">
                  <c:v>2.8147223025593004</c:v>
                </c:pt>
                <c:pt idx="7">
                  <c:v>2.9610417684929593</c:v>
                </c:pt>
                <c:pt idx="8">
                  <c:v>3.1689458900899199</c:v>
                </c:pt>
                <c:pt idx="9">
                  <c:v>3.0306728128316416</c:v>
                </c:pt>
                <c:pt idx="10">
                  <c:v>3.1536378462305139</c:v>
                </c:pt>
                <c:pt idx="11">
                  <c:v>3.1420320771452586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A7-4A6F-B4D8-0D8185460854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PreProCombCentAmer,15-20'!$AA$226:$AA$237</c:f>
              <c:numCache>
                <c:formatCode>0.00</c:formatCode>
                <c:ptCount val="12"/>
                <c:pt idx="0">
                  <c:v>2.895</c:v>
                </c:pt>
                <c:pt idx="1">
                  <c:v>2.8340000000000005</c:v>
                </c:pt>
                <c:pt idx="2">
                  <c:v>2.8094999999999999</c:v>
                </c:pt>
                <c:pt idx="3">
                  <c:v>2.8579999999999997</c:v>
                </c:pt>
                <c:pt idx="4">
                  <c:v>2.8559999999999999</c:v>
                </c:pt>
                <c:pt idx="5">
                  <c:v>2.8200000000000003</c:v>
                </c:pt>
                <c:pt idx="6">
                  <c:v>2.7352500000000002</c:v>
                </c:pt>
                <c:pt idx="7">
                  <c:v>2.8720000000000003</c:v>
                </c:pt>
                <c:pt idx="8">
                  <c:v>3.0174999999999996</c:v>
                </c:pt>
                <c:pt idx="9">
                  <c:v>2.9680000000000004</c:v>
                </c:pt>
                <c:pt idx="10">
                  <c:v>2.9874999999999998</c:v>
                </c:pt>
                <c:pt idx="11">
                  <c:v>3.085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A7-4A6F-B4D8-0D8185460854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PreProCombCentAmer,15-20'!$AB$226:$AB$237</c:f>
              <c:numCache>
                <c:formatCode>0.00</c:formatCode>
                <c:ptCount val="12"/>
                <c:pt idx="0">
                  <c:v>3.5624999999999996</c:v>
                </c:pt>
                <c:pt idx="1">
                  <c:v>3.4559999999999995</c:v>
                </c:pt>
                <c:pt idx="2">
                  <c:v>3.4375</c:v>
                </c:pt>
                <c:pt idx="3">
                  <c:v>3.54</c:v>
                </c:pt>
                <c:pt idx="4">
                  <c:v>3.4880000000000004</c:v>
                </c:pt>
                <c:pt idx="5">
                  <c:v>3.4349999999999996</c:v>
                </c:pt>
                <c:pt idx="6">
                  <c:v>3.4224999999999999</c:v>
                </c:pt>
                <c:pt idx="7">
                  <c:v>3.5200000000000005</c:v>
                </c:pt>
                <c:pt idx="8">
                  <c:v>3.6475</c:v>
                </c:pt>
                <c:pt idx="9">
                  <c:v>3.536</c:v>
                </c:pt>
                <c:pt idx="10">
                  <c:v>3.6375000000000002</c:v>
                </c:pt>
                <c:pt idx="11">
                  <c:v>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A7-4A6F-B4D8-0D8185460854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PreProCombCentAmer,15-20'!$W$352:$W$363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PreProCombCentAmer,15-20'!$AC$226:$AC$237</c:f>
              <c:numCache>
                <c:formatCode>0.00</c:formatCode>
                <c:ptCount val="12"/>
                <c:pt idx="0">
                  <c:v>2.8</c:v>
                </c:pt>
                <c:pt idx="1">
                  <c:v>2.69</c:v>
                </c:pt>
                <c:pt idx="2">
                  <c:v>2.69</c:v>
                </c:pt>
                <c:pt idx="3">
                  <c:v>2.73</c:v>
                </c:pt>
                <c:pt idx="4">
                  <c:v>2.73</c:v>
                </c:pt>
                <c:pt idx="5">
                  <c:v>2.65</c:v>
                </c:pt>
                <c:pt idx="6">
                  <c:v>2.61</c:v>
                </c:pt>
                <c:pt idx="7">
                  <c:v>2.76</c:v>
                </c:pt>
                <c:pt idx="8">
                  <c:v>2.91</c:v>
                </c:pt>
                <c:pt idx="9">
                  <c:v>2.83</c:v>
                </c:pt>
                <c:pt idx="10">
                  <c:v>2.92</c:v>
                </c:pt>
                <c:pt idx="11">
                  <c:v>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9A7-4A6F-B4D8-0D8185460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548696"/>
        <c:axId val="279553792"/>
      </c:lineChart>
      <c:catAx>
        <c:axId val="279548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4337045576485257"/>
              <c:y val="0.92371134020618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5379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79553792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099447513812154E-2"/>
              <c:y val="0.457731958762886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9548696"/>
        <c:crosses val="autoZero"/>
        <c:crossBetween val="between"/>
      </c:valAx>
      <c:spPr>
        <a:gradFill rotWithShape="0">
          <a:gsLst>
            <a:gs pos="0">
              <a:srgbClr val="FFCC99">
                <a:gamma/>
                <a:tint val="0"/>
                <a:invGamma/>
              </a:srgbClr>
            </a:gs>
            <a:gs pos="50000">
              <a:srgbClr val="FFCC99"/>
            </a:gs>
            <a:gs pos="100000">
              <a:srgbClr val="FFCC99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39837009324103"/>
          <c:y val="0.38762886597938145"/>
          <c:w val="0.15055263119734341"/>
          <c:h val="0.23711340206185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DIESEL
 EN CENTROAMERICA  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2017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9452736318407957"/>
          <c:y val="3.635116598079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26112790136"/>
          <c:y val="0.17695508808169388"/>
          <c:w val="0.7074632021507713"/>
          <c:h val="0.64403421592523469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PreProCombCentAmer,15-20'!$X$243:$X$254</c:f>
              <c:numCache>
                <c:formatCode>0.00</c:formatCode>
                <c:ptCount val="12"/>
                <c:pt idx="0">
                  <c:v>3.1265416682467677</c:v>
                </c:pt>
                <c:pt idx="1">
                  <c:v>3.2438005747255163</c:v>
                </c:pt>
                <c:pt idx="2">
                  <c:v>3.1952098398745234</c:v>
                </c:pt>
                <c:pt idx="3">
                  <c:v>3.1634807610619173</c:v>
                </c:pt>
                <c:pt idx="4">
                  <c:v>3.042879494799509</c:v>
                </c:pt>
                <c:pt idx="5">
                  <c:v>2.9420477611637943</c:v>
                </c:pt>
                <c:pt idx="6">
                  <c:v>2.9098513330056721</c:v>
                </c:pt>
                <c:pt idx="7">
                  <c:v>2.9905389854737878</c:v>
                </c:pt>
                <c:pt idx="8">
                  <c:v>3.2470742484864759</c:v>
                </c:pt>
                <c:pt idx="9">
                  <c:v>3.3481594861765585</c:v>
                </c:pt>
                <c:pt idx="10">
                  <c:v>3.425732839144449</c:v>
                </c:pt>
                <c:pt idx="11">
                  <c:v>3.5008389345977209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3E-4364-876F-4B7D5107AD0F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PreProCombCentAmer,15-20'!$Y$243:$Y$254</c:f>
              <c:numCache>
                <c:formatCode>0.00</c:formatCode>
                <c:ptCount val="12"/>
                <c:pt idx="0">
                  <c:v>2.4899999999999998</c:v>
                </c:pt>
                <c:pt idx="1">
                  <c:v>2.5119999999999996</c:v>
                </c:pt>
                <c:pt idx="2">
                  <c:v>2.4957499999999997</c:v>
                </c:pt>
                <c:pt idx="3">
                  <c:v>2.4285000000000001</c:v>
                </c:pt>
                <c:pt idx="4">
                  <c:v>2.5060000000000002</c:v>
                </c:pt>
                <c:pt idx="5">
                  <c:v>2.4849999999999999</c:v>
                </c:pt>
                <c:pt idx="6">
                  <c:v>2.3855</c:v>
                </c:pt>
                <c:pt idx="7">
                  <c:v>2.5499999999999998</c:v>
                </c:pt>
                <c:pt idx="8">
                  <c:v>2.6675</c:v>
                </c:pt>
                <c:pt idx="9">
                  <c:v>2.706</c:v>
                </c:pt>
                <c:pt idx="10">
                  <c:v>2.79</c:v>
                </c:pt>
                <c:pt idx="11">
                  <c:v>2.8800000000000003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3E-4364-876F-4B7D5107AD0F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PreProCombCentAmer,15-20'!$Z$243:$Z$254</c:f>
              <c:numCache>
                <c:formatCode>0.00</c:formatCode>
                <c:ptCount val="12"/>
                <c:pt idx="0">
                  <c:v>2.4514752873698522</c:v>
                </c:pt>
                <c:pt idx="1">
                  <c:v>2.4107162850959942</c:v>
                </c:pt>
                <c:pt idx="2">
                  <c:v>2.3912754944861567</c:v>
                </c:pt>
                <c:pt idx="3">
                  <c:v>2.3996926450626983</c:v>
                </c:pt>
                <c:pt idx="4">
                  <c:v>2.2978112795933194</c:v>
                </c:pt>
                <c:pt idx="5">
                  <c:v>2.2391848371772189</c:v>
                </c:pt>
                <c:pt idx="6">
                  <c:v>2.2175375684063057</c:v>
                </c:pt>
                <c:pt idx="7">
                  <c:v>2.4076531661679494</c:v>
                </c:pt>
                <c:pt idx="8">
                  <c:v>2.5079686937407111</c:v>
                </c:pt>
                <c:pt idx="9">
                  <c:v>2.6011826832504452</c:v>
                </c:pt>
                <c:pt idx="10">
                  <c:v>2.6999535900618223</c:v>
                </c:pt>
                <c:pt idx="11">
                  <c:v>2.7681772026870592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3E-4364-876F-4B7D5107AD0F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PreProCombCentAmer,15-20'!$AA$243:$AA$254</c:f>
              <c:numCache>
                <c:formatCode>0.00</c:formatCode>
                <c:ptCount val="12"/>
                <c:pt idx="0">
                  <c:v>3.0338128599048861</c:v>
                </c:pt>
                <c:pt idx="1">
                  <c:v>3.0238406073051824</c:v>
                </c:pt>
                <c:pt idx="2">
                  <c:v>2.9636685807767718</c:v>
                </c:pt>
                <c:pt idx="3">
                  <c:v>2.9118208789446598</c:v>
                </c:pt>
                <c:pt idx="4">
                  <c:v>2.9095650324098523</c:v>
                </c:pt>
                <c:pt idx="5">
                  <c:v>2.8633663145649098</c:v>
                </c:pt>
                <c:pt idx="6">
                  <c:v>2.7895648400670132</c:v>
                </c:pt>
                <c:pt idx="7">
                  <c:v>2.9194480383300192</c:v>
                </c:pt>
                <c:pt idx="8">
                  <c:v>3.0628570946771587</c:v>
                </c:pt>
                <c:pt idx="9">
                  <c:v>3.1393205486111762</c:v>
                </c:pt>
                <c:pt idx="10">
                  <c:v>3.1366906801942083</c:v>
                </c:pt>
                <c:pt idx="11">
                  <c:v>3.1394291980693132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73E-4364-876F-4B7D5107AD0F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PreProCombCentAmer,15-20'!$AB$243:$AB$254</c:f>
              <c:numCache>
                <c:formatCode>0.00</c:formatCode>
                <c:ptCount val="12"/>
                <c:pt idx="0">
                  <c:v>3.0349999999999997</c:v>
                </c:pt>
                <c:pt idx="1">
                  <c:v>3.0159999999999996</c:v>
                </c:pt>
                <c:pt idx="2">
                  <c:v>2.9525000000000001</c:v>
                </c:pt>
                <c:pt idx="3">
                  <c:v>2.95</c:v>
                </c:pt>
                <c:pt idx="4">
                  <c:v>2.8880000000000003</c:v>
                </c:pt>
                <c:pt idx="5">
                  <c:v>2.8224999999999998</c:v>
                </c:pt>
                <c:pt idx="6">
                  <c:v>2.8125</c:v>
                </c:pt>
                <c:pt idx="7">
                  <c:v>2.94</c:v>
                </c:pt>
                <c:pt idx="8">
                  <c:v>3.0324999999999998</c:v>
                </c:pt>
                <c:pt idx="9">
                  <c:v>3.0859999999999999</c:v>
                </c:pt>
                <c:pt idx="10">
                  <c:v>3.22</c:v>
                </c:pt>
                <c:pt idx="11">
                  <c:v>3.2275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73E-4364-876F-4B7D5107AD0F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PreProCombCentAmer,15-20'!$W$369:$W$380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PreProCombCentAmer,15-20'!$AC$243:$AC$254</c:f>
              <c:numCache>
                <c:formatCode>0.00</c:formatCode>
                <c:ptCount val="12"/>
                <c:pt idx="0">
                  <c:v>2.31</c:v>
                </c:pt>
                <c:pt idx="1">
                  <c:v>2.35</c:v>
                </c:pt>
                <c:pt idx="2">
                  <c:v>2.35</c:v>
                </c:pt>
                <c:pt idx="3">
                  <c:v>2.31</c:v>
                </c:pt>
                <c:pt idx="4">
                  <c:v>2.27</c:v>
                </c:pt>
                <c:pt idx="5">
                  <c:v>2.23</c:v>
                </c:pt>
                <c:pt idx="6">
                  <c:v>2.2000000000000002</c:v>
                </c:pt>
                <c:pt idx="7">
                  <c:v>2.35</c:v>
                </c:pt>
                <c:pt idx="8">
                  <c:v>2.48</c:v>
                </c:pt>
                <c:pt idx="9">
                  <c:v>2.56</c:v>
                </c:pt>
                <c:pt idx="10">
                  <c:v>2.62</c:v>
                </c:pt>
                <c:pt idx="11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73E-4364-876F-4B7D5107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95528"/>
        <c:axId val="287898272"/>
      </c:lineChart>
      <c:catAx>
        <c:axId val="287895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432867160261684"/>
              <c:y val="0.92592787012734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827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7898272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3880597014925373E-2"/>
              <c:y val="0.45267576120886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5528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37376111568139"/>
          <c:y val="0.38065930030351142"/>
          <c:w val="0.16268672386100991"/>
          <c:h val="0.23662594644805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SUPERIOR     
EN CENTROAMERICA       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2016</a:t>
            </a:r>
          </a:p>
        </c:rich>
      </c:tx>
      <c:layout>
        <c:manualLayout>
          <c:xMode val="edge"/>
          <c:yMode val="edge"/>
          <c:x val="0.21359223300970873"/>
          <c:y val="3.0991735537190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655391718993E-2"/>
          <c:y val="0.19214895417919742"/>
          <c:w val="0.72954279642450581"/>
          <c:h val="0.62603368942254634"/>
        </c:manualLayout>
      </c:layout>
      <c:lineChart>
        <c:grouping val="standard"/>
        <c:varyColors val="0"/>
        <c:ser>
          <c:idx val="0"/>
          <c:order val="0"/>
          <c:tx>
            <c:strRef>
              <c:f>'[1]G-SH7 PreProCombCentAmer,15-16'!$X$74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PreProCombCentAmer,15-16'!$W$76:$W$87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PreProCombCentAmer,15-16'!$X$14:$X$25</c:f>
              <c:numCache>
                <c:formatCode>General</c:formatCode>
                <c:ptCount val="12"/>
                <c:pt idx="0">
                  <c:v>3.9026643141788768</c:v>
                </c:pt>
                <c:pt idx="1">
                  <c:v>3.7412955380302408</c:v>
                </c:pt>
                <c:pt idx="2">
                  <c:v>3.110941119004798</c:v>
                </c:pt>
                <c:pt idx="3">
                  <c:v>3.2320807375233613</c:v>
                </c:pt>
                <c:pt idx="4">
                  <c:v>3.4963004341808825</c:v>
                </c:pt>
                <c:pt idx="5">
                  <c:v>3.7027350026437627</c:v>
                </c:pt>
                <c:pt idx="6">
                  <c:v>4.1143554635149755</c:v>
                </c:pt>
                <c:pt idx="7">
                  <c:v>3.974419879410604</c:v>
                </c:pt>
                <c:pt idx="8">
                  <c:v>3.8621366998301667</c:v>
                </c:pt>
                <c:pt idx="9">
                  <c:v>3.9226929972236162</c:v>
                </c:pt>
                <c:pt idx="10">
                  <c:v>3.8842098346300862</c:v>
                </c:pt>
                <c:pt idx="11">
                  <c:v>3.8095402871824362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F8-496C-81DB-134F96986018}"/>
            </c:ext>
          </c:extLst>
        </c:ser>
        <c:ser>
          <c:idx val="1"/>
          <c:order val="1"/>
          <c:tx>
            <c:strRef>
              <c:f>'[1]G-SH7 PreProCombCentAmer,15-16'!$Y$74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PreProCombCentAmer,15-16'!$W$76:$W$87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PreProCombCentAmer,15-16'!$Y$14:$Y$25</c:f>
              <c:numCache>
                <c:formatCode>General</c:formatCode>
                <c:ptCount val="12"/>
                <c:pt idx="0">
                  <c:v>2.5582500000000001</c:v>
                </c:pt>
                <c:pt idx="1">
                  <c:v>2.4177999999999997</c:v>
                </c:pt>
                <c:pt idx="2">
                  <c:v>2.4702500000000001</c:v>
                </c:pt>
                <c:pt idx="3">
                  <c:v>2.7190000000000003</c:v>
                </c:pt>
                <c:pt idx="4">
                  <c:v>2.8723999999999998</c:v>
                </c:pt>
                <c:pt idx="5">
                  <c:v>2.9732500000000002</c:v>
                </c:pt>
                <c:pt idx="6">
                  <c:v>2.9124999999999996</c:v>
                </c:pt>
                <c:pt idx="7">
                  <c:v>2.7904</c:v>
                </c:pt>
                <c:pt idx="8">
                  <c:v>2.8567500000000003</c:v>
                </c:pt>
                <c:pt idx="9">
                  <c:v>2.9260000000000002</c:v>
                </c:pt>
                <c:pt idx="10">
                  <c:v>2.8800000000000003</c:v>
                </c:pt>
                <c:pt idx="11">
                  <c:v>2.8775000000000004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F8-496C-81DB-134F96986018}"/>
            </c:ext>
          </c:extLst>
        </c:ser>
        <c:ser>
          <c:idx val="2"/>
          <c:order val="2"/>
          <c:tx>
            <c:strRef>
              <c:f>'[1]G-SH7 PreProCombCentAmer,15-16'!$Z$74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PreProCombCentAmer,15-16'!$W$76:$W$87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PreProCombCentAmer,15-16'!$Z$14:$Z$25</c:f>
              <c:numCache>
                <c:formatCode>General</c:formatCode>
                <c:ptCount val="12"/>
                <c:pt idx="0">
                  <c:v>2.5569832528165763</c:v>
                </c:pt>
                <c:pt idx="1">
                  <c:v>2.4216958977588012</c:v>
                </c:pt>
                <c:pt idx="2">
                  <c:v>2.6205902721653382</c:v>
                </c:pt>
                <c:pt idx="3">
                  <c:v>2.7777039415962341</c:v>
                </c:pt>
                <c:pt idx="4">
                  <c:v>2.9139493025262468</c:v>
                </c:pt>
                <c:pt idx="5">
                  <c:v>2.9891531381335481</c:v>
                </c:pt>
                <c:pt idx="6">
                  <c:v>2.8526610108800527</c:v>
                </c:pt>
                <c:pt idx="7">
                  <c:v>2.8580928968282091</c:v>
                </c:pt>
                <c:pt idx="8">
                  <c:v>2.9449830992793675</c:v>
                </c:pt>
                <c:pt idx="9">
                  <c:v>3.0058462294881143</c:v>
                </c:pt>
                <c:pt idx="10">
                  <c:v>2.9098066466097805</c:v>
                </c:pt>
                <c:pt idx="11">
                  <c:v>3.0214666386342142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F8-496C-81DB-134F96986018}"/>
            </c:ext>
          </c:extLst>
        </c:ser>
        <c:ser>
          <c:idx val="3"/>
          <c:order val="3"/>
          <c:tx>
            <c:strRef>
              <c:f>'[1]G-SH7 PreProCombCentAmer,15-16'!$AA$74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PreProCombCentAmer,15-16'!$W$76:$W$87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PreProCombCentAmer,15-16'!$AA$14:$AA$25</c:f>
              <c:numCache>
                <c:formatCode>General</c:formatCode>
                <c:ptCount val="12"/>
                <c:pt idx="0">
                  <c:v>3.3391005273012357</c:v>
                </c:pt>
                <c:pt idx="1">
                  <c:v>3.1893767335994854</c:v>
                </c:pt>
                <c:pt idx="2">
                  <c:v>3.2463325911575955</c:v>
                </c:pt>
                <c:pt idx="3">
                  <c:v>3.4352331705300667</c:v>
                </c:pt>
                <c:pt idx="4">
                  <c:v>3.478980557335428</c:v>
                </c:pt>
                <c:pt idx="5">
                  <c:v>3.5375527617573144</c:v>
                </c:pt>
                <c:pt idx="6">
                  <c:v>3.481642526529757</c:v>
                </c:pt>
                <c:pt idx="7">
                  <c:v>3.3863061302502615</c:v>
                </c:pt>
                <c:pt idx="8">
                  <c:v>3.4518425402033559</c:v>
                </c:pt>
                <c:pt idx="9">
                  <c:v>3.4981946031137667</c:v>
                </c:pt>
                <c:pt idx="10">
                  <c:v>3.4937672001955122</c:v>
                </c:pt>
                <c:pt idx="11">
                  <c:v>3.5179909970035603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F8-496C-81DB-134F96986018}"/>
            </c:ext>
          </c:extLst>
        </c:ser>
        <c:ser>
          <c:idx val="4"/>
          <c:order val="4"/>
          <c:tx>
            <c:strRef>
              <c:f>'[1]G-SH7 PreProCombCentAmer,15-16'!$AB$74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PreProCombCentAmer,15-16'!$W$76:$W$87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PreProCombCentAmer,15-16'!$AB$14:$AB$25</c:f>
              <c:numCache>
                <c:formatCode>General</c:formatCode>
                <c:ptCount val="12"/>
                <c:pt idx="0">
                  <c:v>3.2002103137755764</c:v>
                </c:pt>
                <c:pt idx="1">
                  <c:v>3.0548298761097241</c:v>
                </c:pt>
                <c:pt idx="2">
                  <c:v>3.2149999999999999</c:v>
                </c:pt>
                <c:pt idx="3">
                  <c:v>3.42</c:v>
                </c:pt>
                <c:pt idx="4">
                  <c:v>3.5660000000000003</c:v>
                </c:pt>
                <c:pt idx="5">
                  <c:v>3.5674999999999999</c:v>
                </c:pt>
                <c:pt idx="6">
                  <c:v>3.4475000000000002</c:v>
                </c:pt>
                <c:pt idx="7">
                  <c:v>3.3920000000000003</c:v>
                </c:pt>
                <c:pt idx="8">
                  <c:v>3.4525000000000001</c:v>
                </c:pt>
                <c:pt idx="9">
                  <c:v>3.5380000000000003</c:v>
                </c:pt>
                <c:pt idx="10">
                  <c:v>3.3925000000000001</c:v>
                </c:pt>
                <c:pt idx="11">
                  <c:v>3.54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F8-496C-81DB-134F96986018}"/>
            </c:ext>
          </c:extLst>
        </c:ser>
        <c:ser>
          <c:idx val="5"/>
          <c:order val="5"/>
          <c:tx>
            <c:strRef>
              <c:f>'[1]G-SH7 PreProCombCentAmer,15-16'!$AC$74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PreProCombCentAmer,15-16'!$W$76:$W$87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PreProCombCentAmer,15-16'!$AC$14:$AC$25</c:f>
              <c:numCache>
                <c:formatCode>General</c:formatCode>
                <c:ptCount val="12"/>
                <c:pt idx="0">
                  <c:v>2.42</c:v>
                </c:pt>
                <c:pt idx="1">
                  <c:v>2.31</c:v>
                </c:pt>
                <c:pt idx="2">
                  <c:v>2.35</c:v>
                </c:pt>
                <c:pt idx="3">
                  <c:v>2.57</c:v>
                </c:pt>
                <c:pt idx="4">
                  <c:v>2.73</c:v>
                </c:pt>
                <c:pt idx="5">
                  <c:v>2.76</c:v>
                </c:pt>
                <c:pt idx="6">
                  <c:v>2.65</c:v>
                </c:pt>
                <c:pt idx="7">
                  <c:v>2.54</c:v>
                </c:pt>
                <c:pt idx="8">
                  <c:v>2.65</c:v>
                </c:pt>
                <c:pt idx="9">
                  <c:v>2.73</c:v>
                </c:pt>
                <c:pt idx="10">
                  <c:v>2.61</c:v>
                </c:pt>
                <c:pt idx="11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F8-496C-81DB-134F96986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97488"/>
        <c:axId val="287892000"/>
      </c:lineChart>
      <c:catAx>
        <c:axId val="28789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828045766123891"/>
              <c:y val="0.92355458666840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2000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7892000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45661200407800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7488"/>
        <c:crosses val="autoZero"/>
        <c:crossBetween val="between"/>
      </c:valAx>
      <c:spPr>
        <a:gradFill rotWithShape="0">
          <a:gsLst>
            <a:gs pos="0">
              <a:srgbClr val="CCFFFF"/>
            </a:gs>
            <a:gs pos="50000">
              <a:srgbClr val="CCFFFF">
                <a:gamma/>
                <a:tint val="0"/>
                <a:invGamma/>
              </a:srgbClr>
            </a:gs>
            <a:gs pos="100000">
              <a:srgbClr val="CC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72596386616716"/>
          <c:y val="0.38636407019370511"/>
          <c:w val="0.1511790637820758"/>
          <c:h val="0.237603522700158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CC99">
            <a:gamma/>
            <a:tint val="0"/>
            <a:invGamma/>
          </a:srgbClr>
        </a:gs>
        <a:gs pos="50000">
          <a:srgbClr val="FFCC99"/>
        </a:gs>
        <a:gs pos="100000">
          <a:srgbClr val="FFCC99">
            <a:gamma/>
            <a:tint val="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REGULAR
 EN CENTROAMERICA  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2016</a:t>
            </a:r>
          </a:p>
        </c:rich>
      </c:tx>
      <c:layout>
        <c:manualLayout>
          <c:xMode val="edge"/>
          <c:yMode val="edge"/>
          <c:x val="0.21823204419889503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1001368402381"/>
          <c:y val="0.19175257731958759"/>
          <c:w val="0.72099496139270869"/>
          <c:h val="0.6268041237113402"/>
        </c:manualLayout>
      </c:layout>
      <c:lineChart>
        <c:grouping val="standard"/>
        <c:varyColors val="0"/>
        <c:ser>
          <c:idx val="0"/>
          <c:order val="0"/>
          <c:tx>
            <c:strRef>
              <c:f>'[1]G-SH7 PreProCombCentAmer,15-16'!$X$74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PreProCombCentAmer,15-16'!$W$93:$W$104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PreProCombCentAmer,15-16'!$X$31:$X$42</c:f>
              <c:numCache>
                <c:formatCode>General</c:formatCode>
                <c:ptCount val="12"/>
                <c:pt idx="0">
                  <c:v>3.7420895749550587</c:v>
                </c:pt>
                <c:pt idx="1">
                  <c:v>3.5826897339632131</c:v>
                </c:pt>
                <c:pt idx="2">
                  <c:v>2.9641326617034478</c:v>
                </c:pt>
                <c:pt idx="3">
                  <c:v>3.1113505375287489</c:v>
                </c:pt>
                <c:pt idx="4">
                  <c:v>3.3658559741607954</c:v>
                </c:pt>
                <c:pt idx="5">
                  <c:v>3.5515619902112765</c:v>
                </c:pt>
                <c:pt idx="6">
                  <c:v>3.9248955210324379</c:v>
                </c:pt>
                <c:pt idx="7">
                  <c:v>3.7987143163512314</c:v>
                </c:pt>
                <c:pt idx="8">
                  <c:v>3.6899760995117714</c:v>
                </c:pt>
                <c:pt idx="9">
                  <c:v>3.7509372391559568</c:v>
                </c:pt>
                <c:pt idx="10">
                  <c:v>3.6864901369763716</c:v>
                </c:pt>
                <c:pt idx="11">
                  <c:v>3.5703365140328986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36-43E9-B07D-120B9A4F232E}"/>
            </c:ext>
          </c:extLst>
        </c:ser>
        <c:ser>
          <c:idx val="1"/>
          <c:order val="1"/>
          <c:tx>
            <c:strRef>
              <c:f>'[1]G-SH7 PreProCombCentAmer,15-16'!$Y$74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PreProCombCentAmer,15-16'!$W$93:$W$104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PreProCombCentAmer,15-16'!$Y$31:$Y$42</c:f>
              <c:numCache>
                <c:formatCode>General</c:formatCode>
                <c:ptCount val="12"/>
                <c:pt idx="0">
                  <c:v>2.3832499999999999</c:v>
                </c:pt>
                <c:pt idx="1">
                  <c:v>2.2114000000000003</c:v>
                </c:pt>
                <c:pt idx="2">
                  <c:v>2.29</c:v>
                </c:pt>
                <c:pt idx="3">
                  <c:v>2.5309999999999997</c:v>
                </c:pt>
                <c:pt idx="4">
                  <c:v>2.6724000000000006</c:v>
                </c:pt>
                <c:pt idx="5">
                  <c:v>2.7897499999999997</c:v>
                </c:pt>
                <c:pt idx="6">
                  <c:v>2.7349999999999994</c:v>
                </c:pt>
                <c:pt idx="7">
                  <c:v>2.6274000000000002</c:v>
                </c:pt>
                <c:pt idx="8">
                  <c:v>2.7090000000000001</c:v>
                </c:pt>
                <c:pt idx="9">
                  <c:v>2.7199999999999998</c:v>
                </c:pt>
                <c:pt idx="10">
                  <c:v>2.67</c:v>
                </c:pt>
                <c:pt idx="11">
                  <c:v>2.6500000000000004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36-43E9-B07D-120B9A4F232E}"/>
            </c:ext>
          </c:extLst>
        </c:ser>
        <c:ser>
          <c:idx val="2"/>
          <c:order val="2"/>
          <c:tx>
            <c:strRef>
              <c:f>'[1]G-SH7 PreProCombCentAmer,15-16'!$Z$74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PreProCombCentAmer,15-16'!$W$93:$W$104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PreProCombCentAmer,15-16'!$Z$31:$Z$42</c:f>
              <c:numCache>
                <c:formatCode>General</c:formatCode>
                <c:ptCount val="12"/>
                <c:pt idx="0">
                  <c:v>2.3640142963976976</c:v>
                </c:pt>
                <c:pt idx="1">
                  <c:v>2.2283649196131092</c:v>
                </c:pt>
                <c:pt idx="2">
                  <c:v>2.4314802960715474</c:v>
                </c:pt>
                <c:pt idx="3">
                  <c:v>2.5865265220641409</c:v>
                </c:pt>
                <c:pt idx="4">
                  <c:v>2.7194409534042081</c:v>
                </c:pt>
                <c:pt idx="5">
                  <c:v>2.7962634470674872</c:v>
                </c:pt>
                <c:pt idx="6">
                  <c:v>2.6565819786045632</c:v>
                </c:pt>
                <c:pt idx="7">
                  <c:v>2.6606763887201645</c:v>
                </c:pt>
                <c:pt idx="8">
                  <c:v>2.7436211167491549</c:v>
                </c:pt>
                <c:pt idx="9">
                  <c:v>2.8074319368053362</c:v>
                </c:pt>
                <c:pt idx="10">
                  <c:v>2.7110005600569087</c:v>
                </c:pt>
                <c:pt idx="11">
                  <c:v>2.8228624565932465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36-43E9-B07D-120B9A4F232E}"/>
            </c:ext>
          </c:extLst>
        </c:ser>
        <c:ser>
          <c:idx val="3"/>
          <c:order val="3"/>
          <c:tx>
            <c:strRef>
              <c:f>'[1]G-SH7 PreProCombCentAmer,15-16'!$AA$74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PreProCombCentAmer,15-16'!$W$93:$W$104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PreProCombCentAmer,15-16'!$AA$31:$AA$42</c:f>
              <c:numCache>
                <c:formatCode>General</c:formatCode>
                <c:ptCount val="12"/>
                <c:pt idx="0">
                  <c:v>3.0760742603320184</c:v>
                </c:pt>
                <c:pt idx="1">
                  <c:v>2.9219213909692496</c:v>
                </c:pt>
                <c:pt idx="2">
                  <c:v>2.9907613982190924</c:v>
                </c:pt>
                <c:pt idx="3">
                  <c:v>3.180351362768767</c:v>
                </c:pt>
                <c:pt idx="4">
                  <c:v>3.2189249263961153</c:v>
                </c:pt>
                <c:pt idx="5">
                  <c:v>3.2923648802484786</c:v>
                </c:pt>
                <c:pt idx="6">
                  <c:v>3.2433099350377383</c:v>
                </c:pt>
                <c:pt idx="7">
                  <c:v>3.1579936385104985</c:v>
                </c:pt>
                <c:pt idx="8">
                  <c:v>3.224232744743051</c:v>
                </c:pt>
                <c:pt idx="9">
                  <c:v>3.2439827553219152</c:v>
                </c:pt>
                <c:pt idx="10">
                  <c:v>3.2378223533458419</c:v>
                </c:pt>
                <c:pt idx="11">
                  <c:v>3.1511733538319464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36-43E9-B07D-120B9A4F232E}"/>
            </c:ext>
          </c:extLst>
        </c:ser>
        <c:ser>
          <c:idx val="4"/>
          <c:order val="4"/>
          <c:tx>
            <c:strRef>
              <c:f>'[1]G-SH7 PreProCombCentAmer,15-16'!$AB$74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PreProCombCentAmer,15-16'!$W$93:$W$104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PreProCombCentAmer,15-16'!$AB$31:$AB$42</c:f>
              <c:numCache>
                <c:formatCode>General</c:formatCode>
                <c:ptCount val="12"/>
                <c:pt idx="0">
                  <c:v>3.034120316800371</c:v>
                </c:pt>
                <c:pt idx="1">
                  <c:v>2.8877852022520321</c:v>
                </c:pt>
                <c:pt idx="2">
                  <c:v>3.08</c:v>
                </c:pt>
                <c:pt idx="3">
                  <c:v>3.2774999999999999</c:v>
                </c:pt>
                <c:pt idx="4">
                  <c:v>3.4079999999999999</c:v>
                </c:pt>
                <c:pt idx="5">
                  <c:v>3.4475000000000002</c:v>
                </c:pt>
                <c:pt idx="6">
                  <c:v>3.3249999999999997</c:v>
                </c:pt>
                <c:pt idx="7">
                  <c:v>3.3039999999999998</c:v>
                </c:pt>
                <c:pt idx="8">
                  <c:v>3.3474999999999997</c:v>
                </c:pt>
                <c:pt idx="9">
                  <c:v>3.3840000000000003</c:v>
                </c:pt>
                <c:pt idx="10">
                  <c:v>3.2350000000000003</c:v>
                </c:pt>
                <c:pt idx="11">
                  <c:v>3.38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B36-43E9-B07D-120B9A4F232E}"/>
            </c:ext>
          </c:extLst>
        </c:ser>
        <c:ser>
          <c:idx val="5"/>
          <c:order val="5"/>
          <c:tx>
            <c:strRef>
              <c:f>'[1]G-SH7 PreProCombCentAmer,15-16'!$AC$74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PreProCombCentAmer,15-16'!$W$93:$W$104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PreProCombCentAmer,15-16'!$AC$31:$AC$42</c:f>
              <c:numCache>
                <c:formatCode>General</c:formatCode>
                <c:ptCount val="12"/>
                <c:pt idx="0">
                  <c:v>2.23</c:v>
                </c:pt>
                <c:pt idx="1">
                  <c:v>2.16</c:v>
                </c:pt>
                <c:pt idx="2">
                  <c:v>2.2000000000000002</c:v>
                </c:pt>
                <c:pt idx="3">
                  <c:v>2.46</c:v>
                </c:pt>
                <c:pt idx="4">
                  <c:v>2.57</c:v>
                </c:pt>
                <c:pt idx="5">
                  <c:v>2.65</c:v>
                </c:pt>
                <c:pt idx="6">
                  <c:v>2.54</c:v>
                </c:pt>
                <c:pt idx="7">
                  <c:v>2.46</c:v>
                </c:pt>
                <c:pt idx="8">
                  <c:v>2.57</c:v>
                </c:pt>
                <c:pt idx="9">
                  <c:v>2.57</c:v>
                </c:pt>
                <c:pt idx="10">
                  <c:v>2.46</c:v>
                </c:pt>
                <c:pt idx="11">
                  <c:v>2.65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B36-43E9-B07D-120B9A4F2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97880"/>
        <c:axId val="287893176"/>
      </c:lineChart>
      <c:catAx>
        <c:axId val="287897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4337045576485257"/>
              <c:y val="0.92371134020618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3176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789317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099447513812154E-2"/>
              <c:y val="0.45773195876288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7880"/>
        <c:crosses val="autoZero"/>
        <c:crossBetween val="between"/>
      </c:valAx>
      <c:spPr>
        <a:gradFill rotWithShape="0">
          <a:gsLst>
            <a:gs pos="0">
              <a:srgbClr val="FFCC99">
                <a:gamma/>
                <a:tint val="0"/>
                <a:invGamma/>
              </a:srgbClr>
            </a:gs>
            <a:gs pos="50000">
              <a:srgbClr val="FFCC99"/>
            </a:gs>
            <a:gs pos="100000">
              <a:srgbClr val="FFCC99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39837009324103"/>
          <c:y val="0.38762886597938145"/>
          <c:w val="0.15055263119734341"/>
          <c:h val="0.23711340206185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DIESEL
 EN CENTROAMERICA  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2016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9452736318407957"/>
          <c:y val="3.635116598079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26112790136"/>
          <c:y val="0.17695508808169388"/>
          <c:w val="0.7074632021507713"/>
          <c:h val="0.64403421592523469"/>
        </c:manualLayout>
      </c:layout>
      <c:lineChart>
        <c:grouping val="standard"/>
        <c:varyColors val="0"/>
        <c:ser>
          <c:idx val="0"/>
          <c:order val="0"/>
          <c:tx>
            <c:strRef>
              <c:f>'[1]G-SH7 PreProCombCentAmer,15-16'!$X$74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PreProCombCentAmer,15-16'!$W$110:$W$121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PreProCombCentAmer,15-16'!$X$48:$X$59</c:f>
              <c:numCache>
                <c:formatCode>General</c:formatCode>
                <c:ptCount val="12"/>
                <c:pt idx="0">
                  <c:v>3.1346981700649659</c:v>
                </c:pt>
                <c:pt idx="1">
                  <c:v>2.9827529925932046</c:v>
                </c:pt>
                <c:pt idx="2">
                  <c:v>2.4118532270936073</c:v>
                </c:pt>
                <c:pt idx="3">
                  <c:v>2.4974566697046532</c:v>
                </c:pt>
                <c:pt idx="4">
                  <c:v>2.4271515534793955</c:v>
                </c:pt>
                <c:pt idx="5">
                  <c:v>2.7319359523562365</c:v>
                </c:pt>
                <c:pt idx="6">
                  <c:v>3.0816694064371242</c:v>
                </c:pt>
                <c:pt idx="7">
                  <c:v>3.0378358405168173</c:v>
                </c:pt>
                <c:pt idx="8">
                  <c:v>3.0466662447797779</c:v>
                </c:pt>
                <c:pt idx="9">
                  <c:v>3.1626212903487692</c:v>
                </c:pt>
                <c:pt idx="10">
                  <c:v>3.0898774272862419</c:v>
                </c:pt>
                <c:pt idx="11">
                  <c:v>2.9018263010604821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1B-47FD-9FBF-61AEBC4A3BF1}"/>
            </c:ext>
          </c:extLst>
        </c:ser>
        <c:ser>
          <c:idx val="1"/>
          <c:order val="1"/>
          <c:tx>
            <c:strRef>
              <c:f>'[1]G-SH7 PreProCombCentAmer,15-16'!$Y$74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PreProCombCentAmer,15-16'!$W$110:$W$121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PreProCombCentAmer,15-16'!$Y$48:$Y$59</c:f>
              <c:numCache>
                <c:formatCode>General</c:formatCode>
                <c:ptCount val="12"/>
                <c:pt idx="0">
                  <c:v>1.9770000000000001</c:v>
                </c:pt>
                <c:pt idx="1">
                  <c:v>1.8698000000000001</c:v>
                </c:pt>
                <c:pt idx="2">
                  <c:v>1.9249999999999998</c:v>
                </c:pt>
                <c:pt idx="3">
                  <c:v>1.992</c:v>
                </c:pt>
                <c:pt idx="4">
                  <c:v>2.1745999999999999</c:v>
                </c:pt>
                <c:pt idx="5">
                  <c:v>2.3587500000000001</c:v>
                </c:pt>
                <c:pt idx="6">
                  <c:v>2.35</c:v>
                </c:pt>
                <c:pt idx="7">
                  <c:v>2.2001999999999997</c:v>
                </c:pt>
                <c:pt idx="8">
                  <c:v>2.30375</c:v>
                </c:pt>
                <c:pt idx="9">
                  <c:v>2.3559999999999999</c:v>
                </c:pt>
                <c:pt idx="10">
                  <c:v>2.3649999999999998</c:v>
                </c:pt>
                <c:pt idx="11">
                  <c:v>2.3450000000000002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1B-47FD-9FBF-61AEBC4A3BF1}"/>
            </c:ext>
          </c:extLst>
        </c:ser>
        <c:ser>
          <c:idx val="2"/>
          <c:order val="2"/>
          <c:tx>
            <c:strRef>
              <c:f>'[1]G-SH7 PreProCombCentAmer,15-16'!$Z$74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PreProCombCentAmer,15-16'!$W$110:$W$121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PreProCombCentAmer,15-16'!$Z$48:$Z$59</c:f>
              <c:numCache>
                <c:formatCode>General</c:formatCode>
                <c:ptCount val="12"/>
                <c:pt idx="0">
                  <c:v>1.7841214124022271</c:v>
                </c:pt>
                <c:pt idx="1">
                  <c:v>1.6982341725746628</c:v>
                </c:pt>
                <c:pt idx="2">
                  <c:v>1.9163081749914115</c:v>
                </c:pt>
                <c:pt idx="3">
                  <c:v>1.9564045168875341</c:v>
                </c:pt>
                <c:pt idx="4">
                  <c:v>2.1224007089818619</c:v>
                </c:pt>
                <c:pt idx="5">
                  <c:v>2.2499591899379503</c:v>
                </c:pt>
                <c:pt idx="6">
                  <c:v>2.1495258602447693</c:v>
                </c:pt>
                <c:pt idx="7">
                  <c:v>2.151743132961184</c:v>
                </c:pt>
                <c:pt idx="8">
                  <c:v>2.2412159795151148</c:v>
                </c:pt>
                <c:pt idx="9">
                  <c:v>2.3431458543022257</c:v>
                </c:pt>
                <c:pt idx="10">
                  <c:v>2.2877310697793765</c:v>
                </c:pt>
                <c:pt idx="11">
                  <c:v>2.4106470991411317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E1B-47FD-9FBF-61AEBC4A3BF1}"/>
            </c:ext>
          </c:extLst>
        </c:ser>
        <c:ser>
          <c:idx val="3"/>
          <c:order val="3"/>
          <c:tx>
            <c:strRef>
              <c:f>'[1]G-SH7 PreProCombCentAmer,15-16'!$AA$74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PreProCombCentAmer,15-16'!$W$110:$W$121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PreProCombCentAmer,15-16'!$AA$48:$AA$59</c:f>
              <c:numCache>
                <c:formatCode>General</c:formatCode>
                <c:ptCount val="12"/>
                <c:pt idx="0">
                  <c:v>2.4999617238612037</c:v>
                </c:pt>
                <c:pt idx="1">
                  <c:v>2.4306043017997778</c:v>
                </c:pt>
                <c:pt idx="2">
                  <c:v>2.5207538153796696</c:v>
                </c:pt>
                <c:pt idx="3">
                  <c:v>2.5623828240922117</c:v>
                </c:pt>
                <c:pt idx="4">
                  <c:v>2.6320078388823158</c:v>
                </c:pt>
                <c:pt idx="5">
                  <c:v>2.759744801541439</c:v>
                </c:pt>
                <c:pt idx="6">
                  <c:v>2.75510595544631</c:v>
                </c:pt>
                <c:pt idx="7">
                  <c:v>2.648964445795376</c:v>
                </c:pt>
                <c:pt idx="8">
                  <c:v>2.7396838158907384</c:v>
                </c:pt>
                <c:pt idx="9">
                  <c:v>2.7924782407988937</c:v>
                </c:pt>
                <c:pt idx="10">
                  <c:v>2.828407899958882</c:v>
                </c:pt>
                <c:pt idx="11">
                  <c:v>2.8341175621442134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E1B-47FD-9FBF-61AEBC4A3BF1}"/>
            </c:ext>
          </c:extLst>
        </c:ser>
        <c:ser>
          <c:idx val="4"/>
          <c:order val="4"/>
          <c:tx>
            <c:strRef>
              <c:f>'[1]G-SH7 PreProCombCentAmer,15-16'!$AB$74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PreProCombCentAmer,15-16'!$W$110:$W$121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PreProCombCentAmer,15-16'!$AB$48:$AB$59</c:f>
              <c:numCache>
                <c:formatCode>General</c:formatCode>
                <c:ptCount val="12"/>
                <c:pt idx="0">
                  <c:v>2.4645577184076859</c:v>
                </c:pt>
                <c:pt idx="1">
                  <c:v>2.398312243379046</c:v>
                </c:pt>
                <c:pt idx="2">
                  <c:v>2.5024999999999999</c:v>
                </c:pt>
                <c:pt idx="3">
                  <c:v>2.5250000000000004</c:v>
                </c:pt>
                <c:pt idx="4">
                  <c:v>2.738</c:v>
                </c:pt>
                <c:pt idx="5">
                  <c:v>2.8574999999999999</c:v>
                </c:pt>
                <c:pt idx="6">
                  <c:v>2.7850000000000001</c:v>
                </c:pt>
                <c:pt idx="7">
                  <c:v>2.71</c:v>
                </c:pt>
                <c:pt idx="8">
                  <c:v>2.8</c:v>
                </c:pt>
                <c:pt idx="9">
                  <c:v>2.8940000000000001</c:v>
                </c:pt>
                <c:pt idx="10">
                  <c:v>2.82</c:v>
                </c:pt>
                <c:pt idx="11">
                  <c:v>2.9174999999999995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E1B-47FD-9FBF-61AEBC4A3BF1}"/>
            </c:ext>
          </c:extLst>
        </c:ser>
        <c:ser>
          <c:idx val="5"/>
          <c:order val="5"/>
          <c:tx>
            <c:strRef>
              <c:f>'[1]G-SH7 PreProCombCentAmer,15-16'!$AC$74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'[1]G-SH7 PreProCombCentAmer,15-16'!$W$110:$W$121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'[1]G-SH7 PreProCombCentAmer,15-16'!$AC$48:$AC$59</c:f>
              <c:numCache>
                <c:formatCode>General</c:formatCode>
                <c:ptCount val="12"/>
                <c:pt idx="0">
                  <c:v>1.78</c:v>
                </c:pt>
                <c:pt idx="1">
                  <c:v>1.82</c:v>
                </c:pt>
                <c:pt idx="2">
                  <c:v>1.89</c:v>
                </c:pt>
                <c:pt idx="3">
                  <c:v>1.89</c:v>
                </c:pt>
                <c:pt idx="4">
                  <c:v>2.08</c:v>
                </c:pt>
                <c:pt idx="5">
                  <c:v>2.23</c:v>
                </c:pt>
                <c:pt idx="6">
                  <c:v>2.16</c:v>
                </c:pt>
                <c:pt idx="7">
                  <c:v>2.04</c:v>
                </c:pt>
                <c:pt idx="8">
                  <c:v>2.195532</c:v>
                </c:pt>
                <c:pt idx="9">
                  <c:v>2.23</c:v>
                </c:pt>
                <c:pt idx="10">
                  <c:v>2.23</c:v>
                </c:pt>
                <c:pt idx="11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E1B-47FD-9FBF-61AEBC4A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98664"/>
        <c:axId val="287895920"/>
      </c:lineChart>
      <c:catAx>
        <c:axId val="287898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432867160261684"/>
              <c:y val="0.92592787012734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5920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7895920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3880597014925373E-2"/>
              <c:y val="0.45267576120886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8664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37376111568139"/>
          <c:y val="0.38065930030351142"/>
          <c:w val="0.16268672386100991"/>
          <c:h val="0.23662594644805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SUPERIOR     
EN CENTROAMERICA       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2018</a:t>
            </a:r>
          </a:p>
        </c:rich>
      </c:tx>
      <c:layout>
        <c:manualLayout>
          <c:xMode val="edge"/>
          <c:yMode val="edge"/>
          <c:x val="0.21359223300970873"/>
          <c:y val="3.0991735537190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655391718993E-2"/>
          <c:y val="0.19214895417919742"/>
          <c:w val="0.72954279642450581"/>
          <c:h val="0.62603368942254634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PreProCombCentAmer,15-20'!$W$144:$W$155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PreProCombCentAmer,15-20'!$X$144:$X$155</c:f>
              <c:numCache>
                <c:formatCode>0.00</c:formatCode>
                <c:ptCount val="12"/>
                <c:pt idx="0">
                  <c:v>4.0055239842771009</c:v>
                </c:pt>
                <c:pt idx="1">
                  <c:v>4.151070082721338</c:v>
                </c:pt>
                <c:pt idx="2">
                  <c:v>4.1848726688403186</c:v>
                </c:pt>
                <c:pt idx="3">
                  <c:v>4.2560112059900792</c:v>
                </c:pt>
                <c:pt idx="4">
                  <c:v>4.3571366340830533</c:v>
                </c:pt>
                <c:pt idx="5">
                  <c:v>4.4836305001225423</c:v>
                </c:pt>
                <c:pt idx="6">
                  <c:v>4.4996659943406261</c:v>
                </c:pt>
                <c:pt idx="7">
                  <c:v>4.4867299014800333</c:v>
                </c:pt>
                <c:pt idx="8">
                  <c:v>4.4251489659799068</c:v>
                </c:pt>
                <c:pt idx="9">
                  <c:v>4.3123428730200235</c:v>
                </c:pt>
                <c:pt idx="10">
                  <c:v>4.2879680444256456</c:v>
                </c:pt>
                <c:pt idx="11">
                  <c:v>4.0042290596152252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39-4CA5-A94E-6A372A18128A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PreProCombCentAmer,15-20'!$W$144:$W$155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PreProCombCentAmer,15-20'!$Y$144:$Y$155</c:f>
              <c:numCache>
                <c:formatCode>0.00</c:formatCode>
                <c:ptCount val="12"/>
                <c:pt idx="0">
                  <c:v>3.28</c:v>
                </c:pt>
                <c:pt idx="1">
                  <c:v>3.4420000000000002</c:v>
                </c:pt>
                <c:pt idx="2">
                  <c:v>3.3845000000000001</c:v>
                </c:pt>
                <c:pt idx="3">
                  <c:v>3.5174999999999996</c:v>
                </c:pt>
                <c:pt idx="4">
                  <c:v>3.6518000000000002</c:v>
                </c:pt>
                <c:pt idx="5">
                  <c:v>3.7749999999999999</c:v>
                </c:pt>
                <c:pt idx="6">
                  <c:v>3.6775000000000002</c:v>
                </c:pt>
                <c:pt idx="7">
                  <c:v>3.6640000000000001</c:v>
                </c:pt>
                <c:pt idx="8">
                  <c:v>3.6274999999999999</c:v>
                </c:pt>
                <c:pt idx="9">
                  <c:v>3.7079999999999997</c:v>
                </c:pt>
                <c:pt idx="10">
                  <c:v>3.52</c:v>
                </c:pt>
                <c:pt idx="11">
                  <c:v>3.1339999999999999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39-4CA5-A94E-6A372A18128A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PreProCombCentAmer,15-20'!$W$144:$W$155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PreProCombCentAmer,15-20'!$Z$144:$Z$155</c:f>
              <c:numCache>
                <c:formatCode>0.00</c:formatCode>
                <c:ptCount val="12"/>
                <c:pt idx="0">
                  <c:v>3.3692215266406538</c:v>
                </c:pt>
                <c:pt idx="1">
                  <c:v>3.4056233907230107</c:v>
                </c:pt>
                <c:pt idx="2">
                  <c:v>3.3423359686004064</c:v>
                </c:pt>
                <c:pt idx="3">
                  <c:v>3.5412822026715345</c:v>
                </c:pt>
                <c:pt idx="4">
                  <c:v>3.6714270178126824</c:v>
                </c:pt>
                <c:pt idx="5">
                  <c:v>3.6156099945564453</c:v>
                </c:pt>
                <c:pt idx="6">
                  <c:v>3.6113895032152543</c:v>
                </c:pt>
                <c:pt idx="7">
                  <c:v>3.6032837919101679</c:v>
                </c:pt>
                <c:pt idx="8">
                  <c:v>3.5727876520355077</c:v>
                </c:pt>
                <c:pt idx="9">
                  <c:v>3.5814934730693793</c:v>
                </c:pt>
                <c:pt idx="10">
                  <c:v>3.354297983967113</c:v>
                </c:pt>
                <c:pt idx="11">
                  <c:v>2.9889966753548194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39-4CA5-A94E-6A372A18128A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PreProCombCentAmer,15-20'!$W$144:$W$155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PreProCombCentAmer,15-20'!$AA$144:$AA$155</c:f>
              <c:numCache>
                <c:formatCode>0.00</c:formatCode>
                <c:ptCount val="12"/>
                <c:pt idx="0">
                  <c:v>3.8785913039500843</c:v>
                </c:pt>
                <c:pt idx="1">
                  <c:v>4.0295914662745904</c:v>
                </c:pt>
                <c:pt idx="2">
                  <c:v>3.9471875205499978</c:v>
                </c:pt>
                <c:pt idx="3">
                  <c:v>4.0093777638161336</c:v>
                </c:pt>
                <c:pt idx="4">
                  <c:v>4.0886108488468667</c:v>
                </c:pt>
                <c:pt idx="5">
                  <c:v>4.171798489872133</c:v>
                </c:pt>
                <c:pt idx="6">
                  <c:v>4.1168468081141159</c:v>
                </c:pt>
                <c:pt idx="7">
                  <c:v>4.1252908001027464</c:v>
                </c:pt>
                <c:pt idx="8">
                  <c:v>4.1252144580356935</c:v>
                </c:pt>
                <c:pt idx="9">
                  <c:v>4.2039448629608973</c:v>
                </c:pt>
                <c:pt idx="10">
                  <c:v>4.0587489456132966</c:v>
                </c:pt>
                <c:pt idx="11">
                  <c:v>3.7255327885674254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39-4CA5-A94E-6A372A18128A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PreProCombCentAmer,15-20'!$W$144:$W$155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PreProCombCentAmer,15-20'!$AB$144:$AB$156</c:f>
              <c:numCache>
                <c:formatCode>0.00</c:formatCode>
                <c:ptCount val="13"/>
                <c:pt idx="0">
                  <c:v>3.8049999999999997</c:v>
                </c:pt>
                <c:pt idx="1">
                  <c:v>3.8579999999999997</c:v>
                </c:pt>
                <c:pt idx="2">
                  <c:v>3.7925</c:v>
                </c:pt>
                <c:pt idx="3">
                  <c:v>3.99</c:v>
                </c:pt>
                <c:pt idx="4">
                  <c:v>4.0839999999999996</c:v>
                </c:pt>
                <c:pt idx="5">
                  <c:v>4.0649999999999995</c:v>
                </c:pt>
                <c:pt idx="6">
                  <c:v>4.0424999999999995</c:v>
                </c:pt>
                <c:pt idx="7">
                  <c:v>4.0260000000000007</c:v>
                </c:pt>
                <c:pt idx="8">
                  <c:v>4.0449999999999999</c:v>
                </c:pt>
                <c:pt idx="9">
                  <c:v>4.1659999999999995</c:v>
                </c:pt>
                <c:pt idx="10">
                  <c:v>4.0325000000000006</c:v>
                </c:pt>
                <c:pt idx="11">
                  <c:v>3.5620000000000003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39-4CA5-A94E-6A372A18128A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PreProCombCentAmer,15-20'!$W$144:$W$155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PreProCombCentAmer,15-20'!$AC$144:$AC$155</c:f>
              <c:numCache>
                <c:formatCode>0.00</c:formatCode>
                <c:ptCount val="12"/>
                <c:pt idx="0">
                  <c:v>3.0661740000000002</c:v>
                </c:pt>
                <c:pt idx="1">
                  <c:v>3.1418819999999998</c:v>
                </c:pt>
                <c:pt idx="2">
                  <c:v>3.0283200000000003</c:v>
                </c:pt>
                <c:pt idx="3">
                  <c:v>3.21759</c:v>
                </c:pt>
                <c:pt idx="4">
                  <c:v>3.3690060000000002</c:v>
                </c:pt>
                <c:pt idx="5">
                  <c:v>3.3690060000000002</c:v>
                </c:pt>
                <c:pt idx="6">
                  <c:v>3.2932980000000001</c:v>
                </c:pt>
                <c:pt idx="7">
                  <c:v>3.2932980000000001</c:v>
                </c:pt>
                <c:pt idx="8">
                  <c:v>3.2554440000000002</c:v>
                </c:pt>
                <c:pt idx="9">
                  <c:v>3.3311519999999999</c:v>
                </c:pt>
                <c:pt idx="10">
                  <c:v>3.0283200000000003</c:v>
                </c:pt>
                <c:pt idx="11">
                  <c:v>2.7633420000000002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39-4CA5-A94E-6A372A18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99056"/>
        <c:axId val="287892392"/>
      </c:lineChart>
      <c:catAx>
        <c:axId val="28789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828045766123891"/>
              <c:y val="0.92355458666840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239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7892392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456612004078002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9056"/>
        <c:crosses val="autoZero"/>
        <c:crossBetween val="between"/>
      </c:valAx>
      <c:spPr>
        <a:gradFill rotWithShape="0">
          <a:gsLst>
            <a:gs pos="0">
              <a:srgbClr val="CCFFFF"/>
            </a:gs>
            <a:gs pos="50000">
              <a:srgbClr val="CCFFFF">
                <a:gamma/>
                <a:tint val="0"/>
                <a:invGamma/>
              </a:srgbClr>
            </a:gs>
            <a:gs pos="100000">
              <a:srgbClr val="CC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72596386616716"/>
          <c:y val="0.38636407019370511"/>
          <c:w val="0.1511790637820758"/>
          <c:h val="0.237603522700158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CC99">
            <a:gamma/>
            <a:tint val="0"/>
            <a:invGamma/>
          </a:srgbClr>
        </a:gs>
        <a:gs pos="50000">
          <a:srgbClr val="FFCC99"/>
        </a:gs>
        <a:gs pos="100000">
          <a:srgbClr val="FFCC99">
            <a:gamma/>
            <a:tint val="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REGULAR
 EN CENTROAMERICA  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2018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1823204419889503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1001368402381"/>
          <c:y val="0.19175257731958759"/>
          <c:w val="0.72099496139270869"/>
          <c:h val="0.6268041237113402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PreProCombCentAmer,15-20'!$W$161:$W$172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PreProCombCentAmer,15-20'!$X$161:$X$172</c:f>
              <c:numCache>
                <c:formatCode>0.00</c:formatCode>
                <c:ptCount val="12"/>
                <c:pt idx="0">
                  <c:v>3.9299785588401157</c:v>
                </c:pt>
                <c:pt idx="1">
                  <c:v>4.0078342445742265</c:v>
                </c:pt>
                <c:pt idx="2">
                  <c:v>4.042496588266328</c:v>
                </c:pt>
                <c:pt idx="3">
                  <c:v>4.0838345181907494</c:v>
                </c:pt>
                <c:pt idx="4">
                  <c:v>4.1669914549822575</c:v>
                </c:pt>
                <c:pt idx="5">
                  <c:v>4.3285038213808154</c:v>
                </c:pt>
                <c:pt idx="6">
                  <c:v>4.3263650012440547</c:v>
                </c:pt>
                <c:pt idx="7">
                  <c:v>4.3360259112940334</c:v>
                </c:pt>
                <c:pt idx="8">
                  <c:v>4.3110348670027285</c:v>
                </c:pt>
                <c:pt idx="9">
                  <c:v>4.2045343011945224</c:v>
                </c:pt>
                <c:pt idx="10">
                  <c:v>4.1649388305852577</c:v>
                </c:pt>
                <c:pt idx="11">
                  <c:v>3.9350822469688089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8-48BB-8022-3750A600573E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PreProCombCentAmer,15-20'!$W$161:$W$172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PreProCombCentAmer,15-20'!$Y$161:$Y$172</c:f>
              <c:numCache>
                <c:formatCode>0.00</c:formatCode>
                <c:ptCount val="12"/>
                <c:pt idx="0">
                  <c:v>3.105</c:v>
                </c:pt>
                <c:pt idx="1">
                  <c:v>3.2399999999999998</c:v>
                </c:pt>
                <c:pt idx="2">
                  <c:v>3.1702500000000002</c:v>
                </c:pt>
                <c:pt idx="3">
                  <c:v>3.29</c:v>
                </c:pt>
                <c:pt idx="4">
                  <c:v>3.4176000000000002</c:v>
                </c:pt>
                <c:pt idx="5">
                  <c:v>3.5249999999999999</c:v>
                </c:pt>
                <c:pt idx="6">
                  <c:v>3.4307499999999997</c:v>
                </c:pt>
                <c:pt idx="7">
                  <c:v>3.4460000000000002</c:v>
                </c:pt>
                <c:pt idx="8">
                  <c:v>3.4350000000000001</c:v>
                </c:pt>
                <c:pt idx="9">
                  <c:v>3.4840000000000004</c:v>
                </c:pt>
                <c:pt idx="10">
                  <c:v>3.2949999999999999</c:v>
                </c:pt>
                <c:pt idx="11">
                  <c:v>2.9140000000000006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8-48BB-8022-3750A600573E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PreProCombCentAmer,15-20'!$W$161:$W$172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PreProCombCentAmer,15-20'!$Z$161:$Z$172</c:f>
              <c:numCache>
                <c:formatCode>0.00</c:formatCode>
                <c:ptCount val="12"/>
                <c:pt idx="0">
                  <c:v>3.5458327553634601</c:v>
                </c:pt>
                <c:pt idx="1">
                  <c:v>3.6887942415423907</c:v>
                </c:pt>
                <c:pt idx="2">
                  <c:v>3.6043043130276806</c:v>
                </c:pt>
                <c:pt idx="3">
                  <c:v>3.6587924803987404</c:v>
                </c:pt>
                <c:pt idx="4">
                  <c:v>3.7399713780958121</c:v>
                </c:pt>
                <c:pt idx="5">
                  <c:v>3.8037344469350938</c:v>
                </c:pt>
                <c:pt idx="6">
                  <c:v>3.7494398918429255</c:v>
                </c:pt>
                <c:pt idx="7">
                  <c:v>3.7803195277795951</c:v>
                </c:pt>
                <c:pt idx="8">
                  <c:v>3.8056496334308245</c:v>
                </c:pt>
                <c:pt idx="9">
                  <c:v>3.8506465961378415</c:v>
                </c:pt>
                <c:pt idx="10">
                  <c:v>3.7082644128900561</c:v>
                </c:pt>
                <c:pt idx="11">
                  <c:v>3.3691389324774148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8-48BB-8022-3750A600573E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PreProCombCentAmer,15-20'!$W$161:$W$172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PreProCombCentAmer,15-20'!$AA$161:$AA$172</c:f>
              <c:numCache>
                <c:formatCode>0.00</c:formatCode>
                <c:ptCount val="12"/>
                <c:pt idx="0">
                  <c:v>3.68</c:v>
                </c:pt>
                <c:pt idx="1">
                  <c:v>3.7119999999999997</c:v>
                </c:pt>
                <c:pt idx="2">
                  <c:v>3.6575000000000002</c:v>
                </c:pt>
                <c:pt idx="3">
                  <c:v>3.8424999999999998</c:v>
                </c:pt>
                <c:pt idx="4">
                  <c:v>3.9880000000000004</c:v>
                </c:pt>
                <c:pt idx="5">
                  <c:v>3.98</c:v>
                </c:pt>
                <c:pt idx="6">
                  <c:v>3.9649999999999999</c:v>
                </c:pt>
                <c:pt idx="7">
                  <c:v>3.9540000000000006</c:v>
                </c:pt>
                <c:pt idx="8">
                  <c:v>3.9350000000000001</c:v>
                </c:pt>
                <c:pt idx="9">
                  <c:v>3.996</c:v>
                </c:pt>
                <c:pt idx="10">
                  <c:v>3.8824999999999998</c:v>
                </c:pt>
                <c:pt idx="11">
                  <c:v>3.4119999999999999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8-48BB-8022-3750A600573E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PreProCombCentAmer,15-20'!$W$161:$W$172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PreProCombCentAmer,15-20'!$AB$161:$AB$172</c:f>
              <c:numCache>
                <c:formatCode>0.00</c:formatCode>
                <c:ptCount val="12"/>
                <c:pt idx="0">
                  <c:v>2.9204453580000003</c:v>
                </c:pt>
                <c:pt idx="1">
                  <c:v>3.0147021167999997</c:v>
                </c:pt>
                <c:pt idx="2">
                  <c:v>2.9299088880000004</c:v>
                </c:pt>
                <c:pt idx="3">
                  <c:v>3.0605056020000001</c:v>
                </c:pt>
                <c:pt idx="4">
                  <c:v>3.2155943248000001</c:v>
                </c:pt>
                <c:pt idx="5">
                  <c:v>3.2743813799999999</c:v>
                </c:pt>
                <c:pt idx="6">
                  <c:v>3.2232783179999998</c:v>
                </c:pt>
                <c:pt idx="7">
                  <c:v>3.2403126720000004</c:v>
                </c:pt>
                <c:pt idx="8">
                  <c:v>3.210029376</c:v>
                </c:pt>
                <c:pt idx="9">
                  <c:v>3.2758955448</c:v>
                </c:pt>
                <c:pt idx="10">
                  <c:v>3.0368467770000001</c:v>
                </c:pt>
                <c:pt idx="11">
                  <c:v>2.6914279319999994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8-48BB-8022-3750A600573E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PreProCombCentAmer,15-20'!$W$161:$W$172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PreProCombCentAmer,15-20'!$AC$161:$AC$172</c:f>
              <c:numCache>
                <c:formatCode>0.00</c:formatCode>
                <c:ptCount val="12"/>
                <c:pt idx="0">
                  <c:v>2.9526120000000002</c:v>
                </c:pt>
                <c:pt idx="1">
                  <c:v>3.0283200000000003</c:v>
                </c:pt>
                <c:pt idx="2">
                  <c:v>2.914758</c:v>
                </c:pt>
                <c:pt idx="3">
                  <c:v>3.104028</c:v>
                </c:pt>
                <c:pt idx="4">
                  <c:v>3.2932980000000001</c:v>
                </c:pt>
                <c:pt idx="5">
                  <c:v>3.2554440000000002</c:v>
                </c:pt>
                <c:pt idx="6">
                  <c:v>3.21759</c:v>
                </c:pt>
                <c:pt idx="7">
                  <c:v>3.21759</c:v>
                </c:pt>
                <c:pt idx="8">
                  <c:v>3.1797360000000001</c:v>
                </c:pt>
                <c:pt idx="9">
                  <c:v>3.21759</c:v>
                </c:pt>
                <c:pt idx="10">
                  <c:v>2.8769040000000001</c:v>
                </c:pt>
                <c:pt idx="11">
                  <c:v>2.6497799999999998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8-48BB-8022-3750A600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95136"/>
        <c:axId val="287897096"/>
      </c:lineChart>
      <c:catAx>
        <c:axId val="28789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4337045576485257"/>
              <c:y val="0.92371134020618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7096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789709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099447513812154E-2"/>
              <c:y val="0.457731958762886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5136"/>
        <c:crosses val="autoZero"/>
        <c:crossBetween val="between"/>
      </c:valAx>
      <c:spPr>
        <a:gradFill rotWithShape="0">
          <a:gsLst>
            <a:gs pos="0">
              <a:srgbClr val="FFCC99">
                <a:gamma/>
                <a:tint val="0"/>
                <a:invGamma/>
              </a:srgbClr>
            </a:gs>
            <a:gs pos="50000">
              <a:srgbClr val="FFCC99"/>
            </a:gs>
            <a:gs pos="100000">
              <a:srgbClr val="FFCC99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39837009324103"/>
          <c:y val="0.38762886597938145"/>
          <c:w val="0.15055263119734341"/>
          <c:h val="0.23711340206185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DIESEL
 EN CENTROAMERICA  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2018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9452736318407957"/>
          <c:y val="3.635116598079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26112790136"/>
          <c:y val="0.17695508808169388"/>
          <c:w val="0.7074632021507713"/>
          <c:h val="0.64403421592523469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PreProCombCentAmer,15-20'!$X$333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PreProCombCentAmer,15-20'!$W$243:$W$254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PreProCombCentAmer,15-20'!$X$178:$X$189</c:f>
              <c:numCache>
                <c:formatCode>0.00</c:formatCode>
                <c:ptCount val="12"/>
                <c:pt idx="0">
                  <c:v>3.4064265443459583</c:v>
                </c:pt>
                <c:pt idx="1">
                  <c:v>3.5425421250237932</c:v>
                </c:pt>
                <c:pt idx="2">
                  <c:v>3.569018218021184</c:v>
                </c:pt>
                <c:pt idx="3">
                  <c:v>3.5433489356118342</c:v>
                </c:pt>
                <c:pt idx="4">
                  <c:v>3.5738677819057565</c:v>
                </c:pt>
                <c:pt idx="5">
                  <c:v>3.730224072584214</c:v>
                </c:pt>
                <c:pt idx="6">
                  <c:v>3.6856915801069468</c:v>
                </c:pt>
                <c:pt idx="7">
                  <c:v>3.6825231447275946</c:v>
                </c:pt>
                <c:pt idx="8">
                  <c:v>3.6689573756185712</c:v>
                </c:pt>
                <c:pt idx="9">
                  <c:v>3.7103794017586949</c:v>
                </c:pt>
                <c:pt idx="10">
                  <c:v>3.6965944723029134</c:v>
                </c:pt>
                <c:pt idx="11">
                  <c:v>3.6860156547185845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D3-43BC-8391-D2995DF60879}"/>
            </c:ext>
          </c:extLst>
        </c:ser>
        <c:ser>
          <c:idx val="1"/>
          <c:order val="1"/>
          <c:tx>
            <c:strRef>
              <c:f>'G-SH7 PreProCombCentAmer,15-20'!$Y$333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PreProCombCentAmer,15-20'!$W$243:$W$254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PreProCombCentAmer,15-20'!$Y$178:$Y$189</c:f>
              <c:numCache>
                <c:formatCode>0.00</c:formatCode>
                <c:ptCount val="12"/>
                <c:pt idx="0">
                  <c:v>2.9675000000000002</c:v>
                </c:pt>
                <c:pt idx="1">
                  <c:v>3.0259999999999998</c:v>
                </c:pt>
                <c:pt idx="2">
                  <c:v>2.9557500000000001</c:v>
                </c:pt>
                <c:pt idx="3">
                  <c:v>3.0249999999999999</c:v>
                </c:pt>
                <c:pt idx="4">
                  <c:v>3.2067999999999999</c:v>
                </c:pt>
                <c:pt idx="5">
                  <c:v>3.3274999999999997</c:v>
                </c:pt>
                <c:pt idx="6">
                  <c:v>3.3200000000000003</c:v>
                </c:pt>
                <c:pt idx="7">
                  <c:v>3.2479999999999998</c:v>
                </c:pt>
                <c:pt idx="8">
                  <c:v>3.3000000000000003</c:v>
                </c:pt>
                <c:pt idx="9">
                  <c:v>3.4259999999999997</c:v>
                </c:pt>
                <c:pt idx="10">
                  <c:v>3.3349999999999995</c:v>
                </c:pt>
                <c:pt idx="11">
                  <c:v>3.0054973767864985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D3-43BC-8391-D2995DF60879}"/>
            </c:ext>
          </c:extLst>
        </c:ser>
        <c:ser>
          <c:idx val="2"/>
          <c:order val="2"/>
          <c:tx>
            <c:strRef>
              <c:f>'G-SH7 PreProCombCentAmer,15-20'!$Z$333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PreProCombCentAmer,15-20'!$W$243:$W$254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PreProCombCentAmer,15-20'!$Z$178:$Z$189</c:f>
              <c:numCache>
                <c:formatCode>0.00</c:formatCode>
                <c:ptCount val="12"/>
                <c:pt idx="0">
                  <c:v>2.8123970355049654</c:v>
                </c:pt>
                <c:pt idx="1">
                  <c:v>2.7909471371796251</c:v>
                </c:pt>
                <c:pt idx="2">
                  <c:v>2.6880391059755224</c:v>
                </c:pt>
                <c:pt idx="3">
                  <c:v>2.8674159560945198</c:v>
                </c:pt>
                <c:pt idx="4">
                  <c:v>2.9702043377587071</c:v>
                </c:pt>
                <c:pt idx="5">
                  <c:v>2.9531495747591738</c:v>
                </c:pt>
                <c:pt idx="6">
                  <c:v>2.961384752247743</c:v>
                </c:pt>
                <c:pt idx="7">
                  <c:v>2.9361247631401572</c:v>
                </c:pt>
                <c:pt idx="8">
                  <c:v>3.0054258350032184</c:v>
                </c:pt>
                <c:pt idx="9">
                  <c:v>3.1327430024676923</c:v>
                </c:pt>
                <c:pt idx="10">
                  <c:v>3.0128173577668473</c:v>
                </c:pt>
                <c:pt idx="11">
                  <c:v>2.7134224882349272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D3-43BC-8391-D2995DF60879}"/>
            </c:ext>
          </c:extLst>
        </c:ser>
        <c:ser>
          <c:idx val="3"/>
          <c:order val="3"/>
          <c:tx>
            <c:strRef>
              <c:f>'G-SH7 PreProCombCentAmer,15-20'!$AA$333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PreProCombCentAmer,15-20'!$W$243:$W$254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PreProCombCentAmer,15-20'!$AA$178:$AA$189</c:f>
              <c:numCache>
                <c:formatCode>0.00</c:formatCode>
                <c:ptCount val="12"/>
                <c:pt idx="0">
                  <c:v>3.2477914264269168</c:v>
                </c:pt>
                <c:pt idx="1">
                  <c:v>3.3647658443973567</c:v>
                </c:pt>
                <c:pt idx="2">
                  <c:v>3.278762767847609</c:v>
                </c:pt>
                <c:pt idx="3">
                  <c:v>3.3181767462025196</c:v>
                </c:pt>
                <c:pt idx="4">
                  <c:v>3.4433314898571963</c:v>
                </c:pt>
                <c:pt idx="5">
                  <c:v>3.5454168617285244</c:v>
                </c:pt>
                <c:pt idx="6">
                  <c:v>3.4911120733391163</c:v>
                </c:pt>
                <c:pt idx="7">
                  <c:v>3.4782440625286801</c:v>
                </c:pt>
                <c:pt idx="8">
                  <c:v>3.5238791551973465</c:v>
                </c:pt>
                <c:pt idx="9">
                  <c:v>3.6388999065363214</c:v>
                </c:pt>
                <c:pt idx="10">
                  <c:v>3.5970804902086924</c:v>
                </c:pt>
                <c:pt idx="11">
                  <c:v>3.3391062018446105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FD3-43BC-8391-D2995DF60879}"/>
            </c:ext>
          </c:extLst>
        </c:ser>
        <c:ser>
          <c:idx val="4"/>
          <c:order val="4"/>
          <c:tx>
            <c:strRef>
              <c:f>'G-SH7 PreProCombCentAmer,15-20'!$AB$333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PreProCombCentAmer,15-20'!$W$243:$W$254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PreProCombCentAmer,15-20'!$AB$178:$AB$189</c:f>
              <c:numCache>
                <c:formatCode>0.00</c:formatCode>
                <c:ptCount val="12"/>
                <c:pt idx="0">
                  <c:v>3.34</c:v>
                </c:pt>
                <c:pt idx="1">
                  <c:v>3.2939999999999996</c:v>
                </c:pt>
                <c:pt idx="2">
                  <c:v>3.2149999999999999</c:v>
                </c:pt>
                <c:pt idx="3">
                  <c:v>3.3925000000000001</c:v>
                </c:pt>
                <c:pt idx="4">
                  <c:v>3.4900000000000007</c:v>
                </c:pt>
                <c:pt idx="5">
                  <c:v>3.4824999999999999</c:v>
                </c:pt>
                <c:pt idx="6">
                  <c:v>3.4675000000000002</c:v>
                </c:pt>
                <c:pt idx="7">
                  <c:v>3.4760000000000004</c:v>
                </c:pt>
                <c:pt idx="8">
                  <c:v>3.645</c:v>
                </c:pt>
                <c:pt idx="9">
                  <c:v>3.774</c:v>
                </c:pt>
                <c:pt idx="10">
                  <c:v>3.69</c:v>
                </c:pt>
                <c:pt idx="11">
                  <c:v>3.3200000000000003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FD3-43BC-8391-D2995DF60879}"/>
            </c:ext>
          </c:extLst>
        </c:ser>
        <c:ser>
          <c:idx val="5"/>
          <c:order val="5"/>
          <c:tx>
            <c:strRef>
              <c:f>'G-SH7 PreProCombCentAmer,15-20'!$AC$333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'G-SH7 PreProCombCentAmer,15-20'!$W$243:$W$254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'G-SH7 PreProCombCentAmer,15-20'!$AC$178:$AC$189</c:f>
              <c:numCache>
                <c:formatCode>0.00</c:formatCode>
                <c:ptCount val="12"/>
                <c:pt idx="0">
                  <c:v>2.7633420000000002</c:v>
                </c:pt>
                <c:pt idx="1">
                  <c:v>2.7633420000000002</c:v>
                </c:pt>
                <c:pt idx="2">
                  <c:v>2.6497799999999998</c:v>
                </c:pt>
                <c:pt idx="3">
                  <c:v>2.7633420000000002</c:v>
                </c:pt>
                <c:pt idx="4">
                  <c:v>2.9526120000000002</c:v>
                </c:pt>
                <c:pt idx="5">
                  <c:v>2.9526120000000002</c:v>
                </c:pt>
                <c:pt idx="6">
                  <c:v>2.914758</c:v>
                </c:pt>
                <c:pt idx="7">
                  <c:v>2.914758</c:v>
                </c:pt>
                <c:pt idx="8">
                  <c:v>2.9526120000000002</c:v>
                </c:pt>
                <c:pt idx="9">
                  <c:v>3.104028</c:v>
                </c:pt>
                <c:pt idx="10">
                  <c:v>2.9526120000000002</c:v>
                </c:pt>
                <c:pt idx="11">
                  <c:v>2.611926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FD3-43BC-8391-D2995DF6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94352"/>
        <c:axId val="287894744"/>
      </c:lineChart>
      <c:catAx>
        <c:axId val="28789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432867160261684"/>
              <c:y val="0.92592787012734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4744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7894744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3880597014925373E-2"/>
              <c:y val="0.45267576120886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94352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37376111568139"/>
          <c:y val="0.38065930030351142"/>
          <c:w val="0.16268672386100991"/>
          <c:h val="0.23662594644805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SUPERIOR     
EN CENTROAMERICA       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2019</a:t>
            </a:r>
          </a:p>
        </c:rich>
      </c:tx>
      <c:layout>
        <c:manualLayout>
          <c:xMode val="edge"/>
          <c:yMode val="edge"/>
          <c:x val="0.21359223300970873"/>
          <c:y val="3.0991735537190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655391718993E-2"/>
          <c:y val="0.19214895417919742"/>
          <c:w val="0.73133252303193652"/>
          <c:h val="0.62603368942254634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PreProCombCentAmer,15-20'!$X$77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PreProCombCentAmer,15-20'!$W$81,'G-SH7 PreProCombCentAmer,15-20'!$W$84,'G-SH7 PreProCombCentAmer,15-20'!$W$87,'G-SH7 PreProCombCentAmer,15-20'!$W$90)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PreProCombCentAmer,15-20'!$X$81,'G-SH7 PreProCombCentAmer,15-20'!$X$84,'G-SH7 PreProCombCentAmer,15-20'!$X$87,'G-SH7 PreProCombCentAmer,15-20'!$X$90)</c:f>
              <c:numCache>
                <c:formatCode>0.00</c:formatCode>
                <c:ptCount val="4"/>
                <c:pt idx="0">
                  <c:v>3.67</c:v>
                </c:pt>
                <c:pt idx="1">
                  <c:v>4.21</c:v>
                </c:pt>
                <c:pt idx="2">
                  <c:v>4.3099999999999996</c:v>
                </c:pt>
                <c:pt idx="3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39-4CA5-A94E-6A372A18128A}"/>
            </c:ext>
          </c:extLst>
        </c:ser>
        <c:ser>
          <c:idx val="1"/>
          <c:order val="1"/>
          <c:tx>
            <c:strRef>
              <c:f>'G-SH7 PreProCombCentAmer,15-20'!$Y$77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PreProCombCentAmer,15-20'!$W$81,'G-SH7 PreProCombCentAmer,15-20'!$W$84,'G-SH7 PreProCombCentAmer,15-20'!$W$87,'G-SH7 PreProCombCentAmer,15-20'!$W$90)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PreProCombCentAmer,15-20'!$Y$81,'G-SH7 PreProCombCentAmer,15-20'!$Y$84,'G-SH7 PreProCombCentAmer,15-20'!$Y$87,'G-SH7 PreProCombCentAmer,15-20'!$Y$90)</c:f>
              <c:numCache>
                <c:formatCode>0.00</c:formatCode>
                <c:ptCount val="4"/>
                <c:pt idx="0">
                  <c:v>3.05</c:v>
                </c:pt>
                <c:pt idx="1">
                  <c:v>3.55</c:v>
                </c:pt>
                <c:pt idx="2">
                  <c:v>3.37</c:v>
                </c:pt>
                <c:pt idx="3">
                  <c:v>3.26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39-4CA5-A94E-6A372A18128A}"/>
            </c:ext>
          </c:extLst>
        </c:ser>
        <c:ser>
          <c:idx val="2"/>
          <c:order val="2"/>
          <c:tx>
            <c:strRef>
              <c:f>'G-SH7 PreProCombCentAmer,15-20'!$Z$77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PreProCombCentAmer,15-20'!$W$81,'G-SH7 PreProCombCentAmer,15-20'!$W$84,'G-SH7 PreProCombCentAmer,15-20'!$W$87,'G-SH7 PreProCombCentAmer,15-20'!$W$90)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PreProCombCentAmer,15-20'!$Z$81,'G-SH7 PreProCombCentAmer,15-20'!$Z$84,'G-SH7 PreProCombCentAmer,15-20'!$Z$87,'G-SH7 PreProCombCentAmer,15-20'!$Z$90)</c:f>
              <c:numCache>
                <c:formatCode>0.00</c:formatCode>
                <c:ptCount val="4"/>
                <c:pt idx="0">
                  <c:v>3.01</c:v>
                </c:pt>
                <c:pt idx="1">
                  <c:v>3.45</c:v>
                </c:pt>
                <c:pt idx="2">
                  <c:v>3.31</c:v>
                </c:pt>
                <c:pt idx="3">
                  <c:v>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39-4CA5-A94E-6A372A18128A}"/>
            </c:ext>
          </c:extLst>
        </c:ser>
        <c:ser>
          <c:idx val="3"/>
          <c:order val="3"/>
          <c:tx>
            <c:strRef>
              <c:f>'G-SH7 PreProCombCentAmer,15-20'!$AA$77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PreProCombCentAmer,15-20'!$W$81,'G-SH7 PreProCombCentAmer,15-20'!$W$84,'G-SH7 PreProCombCentAmer,15-20'!$W$87,'G-SH7 PreProCombCentAmer,15-20'!$W$90)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PreProCombCentAmer,15-20'!$AA$81,'G-SH7 PreProCombCentAmer,15-20'!$AA$84,'G-SH7 PreProCombCentAmer,15-20'!$AA$87,'G-SH7 PreProCombCentAmer,15-20'!$AA$90)</c:f>
              <c:numCache>
                <c:formatCode>0.00</c:formatCode>
                <c:ptCount val="4"/>
                <c:pt idx="0">
                  <c:v>3.66</c:v>
                </c:pt>
                <c:pt idx="1">
                  <c:v>4.03</c:v>
                </c:pt>
                <c:pt idx="2">
                  <c:v>3.88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39-4CA5-A94E-6A372A18128A}"/>
            </c:ext>
          </c:extLst>
        </c:ser>
        <c:ser>
          <c:idx val="4"/>
          <c:order val="4"/>
          <c:tx>
            <c:strRef>
              <c:f>'G-SH7 PreProCombCentAmer,15-20'!$AB$77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PreProCombCentAmer,15-20'!$W$81,'G-SH7 PreProCombCentAmer,15-20'!$W$84,'G-SH7 PreProCombCentAmer,15-20'!$W$87,'G-SH7 PreProCombCentAmer,15-20'!$W$90)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PreProCombCentAmer,15-20'!$AB$81,'G-SH7 PreProCombCentAmer,15-20'!$AB$84,'G-SH7 PreProCombCentAmer,15-20'!$AB$87,'G-SH7 PreProCombCentAmer,15-20'!$AB$90)</c:f>
              <c:numCache>
                <c:formatCode>0.00</c:formatCode>
                <c:ptCount val="4"/>
                <c:pt idx="0">
                  <c:v>3.59</c:v>
                </c:pt>
                <c:pt idx="1">
                  <c:v>3.96</c:v>
                </c:pt>
                <c:pt idx="2">
                  <c:v>3.83</c:v>
                </c:pt>
                <c:pt idx="3">
                  <c:v>3.73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39-4CA5-A94E-6A372A18128A}"/>
            </c:ext>
          </c:extLst>
        </c:ser>
        <c:ser>
          <c:idx val="5"/>
          <c:order val="5"/>
          <c:tx>
            <c:strRef>
              <c:f>'G-SH7 PreProCombCentAmer,15-20'!$AC$77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PreProCombCentAmer,15-20'!$W$81,'G-SH7 PreProCombCentAmer,15-20'!$W$84,'G-SH7 PreProCombCentAmer,15-20'!$W$87,'G-SH7 PreProCombCentAmer,15-20'!$W$90)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PreProCombCentAmer,15-20'!$AC$81,'G-SH7 PreProCombCentAmer,15-20'!$AC$84,'G-SH7 PreProCombCentAmer,15-20'!$AC$87,'G-SH7 PreProCombCentAmer,15-20'!$AC$90)</c:f>
              <c:numCache>
                <c:formatCode>0.00</c:formatCode>
                <c:ptCount val="4"/>
                <c:pt idx="0">
                  <c:v>2.7381059999999997</c:v>
                </c:pt>
                <c:pt idx="1">
                  <c:v>3.32</c:v>
                </c:pt>
                <c:pt idx="2">
                  <c:v>3.1</c:v>
                </c:pt>
                <c:pt idx="3">
                  <c:v>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39-4CA5-A94E-6A372A18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988384"/>
        <c:axId val="288995440"/>
      </c:lineChart>
      <c:catAx>
        <c:axId val="28898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Trimestre</a:t>
                </a:r>
              </a:p>
            </c:rich>
          </c:tx>
          <c:layout>
            <c:manualLayout>
              <c:xMode val="edge"/>
              <c:yMode val="edge"/>
              <c:x val="0.38626487683837962"/>
              <c:y val="0.92626464374879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5440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8995440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456612004078002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88384"/>
        <c:crosses val="autoZero"/>
        <c:crossBetween val="between"/>
      </c:valAx>
      <c:spPr>
        <a:gradFill rotWithShape="0">
          <a:gsLst>
            <a:gs pos="0">
              <a:srgbClr val="CCFFFF"/>
            </a:gs>
            <a:gs pos="50000">
              <a:srgbClr val="CCFFFF">
                <a:gamma/>
                <a:tint val="0"/>
                <a:invGamma/>
              </a:srgbClr>
            </a:gs>
            <a:gs pos="100000">
              <a:srgbClr val="CC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72596386616716"/>
          <c:y val="0.38636407019370511"/>
          <c:w val="0.1511790637820758"/>
          <c:h val="0.237603522700158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CC99">
            <a:gamma/>
            <a:tint val="0"/>
            <a:invGamma/>
          </a:srgbClr>
        </a:gs>
        <a:gs pos="50000">
          <a:srgbClr val="FFCC99"/>
        </a:gs>
        <a:gs pos="100000">
          <a:srgbClr val="FFCC99">
            <a:gamma/>
            <a:tint val="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REGULAR
 EN CENTROAMERICA  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2019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1823204419889503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7479751726313"/>
          <c:y val="0.19442886780862551"/>
          <c:w val="0.72099496139270869"/>
          <c:h val="0.6268041237113402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PreProCombCentAmer,15-20'!$X$94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PreProCombCentAmer,15-20'!$W$98,'G-SH7 PreProCombCentAmer,15-20'!$W$101,'G-SH7 PreProCombCentAmer,15-20'!$W$104,'G-SH7 PreProCombCentAmer,15-20'!$W$107)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PreProCombCentAmer,15-20'!$X$98,'G-SH7 PreProCombCentAmer,15-20'!$X$101,'G-SH7 PreProCombCentAmer,15-20'!$X$104,'G-SH7 PreProCombCentAmer,15-20'!$X$107)</c:f>
              <c:numCache>
                <c:formatCode>0.00</c:formatCode>
                <c:ptCount val="4"/>
                <c:pt idx="0">
                  <c:v>3.58</c:v>
                </c:pt>
                <c:pt idx="1">
                  <c:v>4.09</c:v>
                </c:pt>
                <c:pt idx="2">
                  <c:v>4.16</c:v>
                </c:pt>
                <c:pt idx="3">
                  <c:v>3.99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8-48BB-8022-3750A600573E}"/>
            </c:ext>
          </c:extLst>
        </c:ser>
        <c:ser>
          <c:idx val="1"/>
          <c:order val="1"/>
          <c:tx>
            <c:strRef>
              <c:f>'G-SH7 PreProCombCentAmer,15-20'!$Y$94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PreProCombCentAmer,15-20'!$W$98,'G-SH7 PreProCombCentAmer,15-20'!$W$101,'G-SH7 PreProCombCentAmer,15-20'!$W$104,'G-SH7 PreProCombCentAmer,15-20'!$W$107)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PreProCombCentAmer,15-20'!$Y$98,'G-SH7 PreProCombCentAmer,15-20'!$Y$101,'G-SH7 PreProCombCentAmer,15-20'!$Y$104,'G-SH7 PreProCombCentAmer,15-20'!$Y$107)</c:f>
              <c:numCache>
                <c:formatCode>0.00</c:formatCode>
                <c:ptCount val="4"/>
                <c:pt idx="0">
                  <c:v>2.82</c:v>
                </c:pt>
                <c:pt idx="1">
                  <c:v>3.31</c:v>
                </c:pt>
                <c:pt idx="2">
                  <c:v>3.12</c:v>
                </c:pt>
                <c:pt idx="3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8-48BB-8022-3750A600573E}"/>
            </c:ext>
          </c:extLst>
        </c:ser>
        <c:ser>
          <c:idx val="2"/>
          <c:order val="2"/>
          <c:tx>
            <c:strRef>
              <c:f>'G-SH7 PreProCombCentAmer,15-20'!$Z$94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PreProCombCentAmer,15-20'!$W$98,'G-SH7 PreProCombCentAmer,15-20'!$W$101,'G-SH7 PreProCombCentAmer,15-20'!$W$104,'G-SH7 PreProCombCentAmer,15-20'!$W$107)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PreProCombCentAmer,15-20'!$Z$98,'G-SH7 PreProCombCentAmer,15-20'!$Z$101,'G-SH7 PreProCombCentAmer,15-20'!$Z$104,'G-SH7 PreProCombCentAmer,15-20'!$Z$107)</c:f>
              <c:numCache>
                <c:formatCode>0.00</c:formatCode>
                <c:ptCount val="4"/>
                <c:pt idx="0">
                  <c:v>2.86</c:v>
                </c:pt>
                <c:pt idx="1">
                  <c:v>3.3</c:v>
                </c:pt>
                <c:pt idx="2">
                  <c:v>3.15</c:v>
                </c:pt>
                <c:pt idx="3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8-48BB-8022-3750A600573E}"/>
            </c:ext>
          </c:extLst>
        </c:ser>
        <c:ser>
          <c:idx val="3"/>
          <c:order val="3"/>
          <c:tx>
            <c:strRef>
              <c:f>'G-SH7 PreProCombCentAmer,15-20'!$AA$94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PreProCombCentAmer,15-20'!$W$98,'G-SH7 PreProCombCentAmer,15-20'!$W$101,'G-SH7 PreProCombCentAmer,15-20'!$W$104,'G-SH7 PreProCombCentAmer,15-20'!$W$107)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PreProCombCentAmer,15-20'!$AA$98,'G-SH7 PreProCombCentAmer,15-20'!$AA$101,'G-SH7 PreProCombCentAmer,15-20'!$AA$104,'G-SH7 PreProCombCentAmer,15-20'!$AA$107)</c:f>
              <c:numCache>
                <c:formatCode>0.00</c:formatCode>
                <c:ptCount val="4"/>
                <c:pt idx="0">
                  <c:v>3.32</c:v>
                </c:pt>
                <c:pt idx="1">
                  <c:v>3.66</c:v>
                </c:pt>
                <c:pt idx="2">
                  <c:v>3.49</c:v>
                </c:pt>
                <c:pt idx="3">
                  <c:v>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8-48BB-8022-3750A600573E}"/>
            </c:ext>
          </c:extLst>
        </c:ser>
        <c:ser>
          <c:idx val="4"/>
          <c:order val="4"/>
          <c:tx>
            <c:strRef>
              <c:f>'G-SH7 PreProCombCentAmer,15-20'!$AB$94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PreProCombCentAmer,15-20'!$W$98,'G-SH7 PreProCombCentAmer,15-20'!$W$101,'G-SH7 PreProCombCentAmer,15-20'!$W$104,'G-SH7 PreProCombCentAmer,15-20'!$W$107)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PreProCombCentAmer,15-20'!$AB$98,'G-SH7 PreProCombCentAmer,15-20'!$AB$101,'G-SH7 PreProCombCentAmer,15-20'!$AB$104,'G-SH7 PreProCombCentAmer,15-20'!$AB$107)</c:f>
              <c:numCache>
                <c:formatCode>0.00</c:formatCode>
                <c:ptCount val="4"/>
                <c:pt idx="0">
                  <c:v>3.43</c:v>
                </c:pt>
                <c:pt idx="1">
                  <c:v>3.84</c:v>
                </c:pt>
                <c:pt idx="2">
                  <c:v>3.69</c:v>
                </c:pt>
                <c:pt idx="3">
                  <c:v>3.55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8-48BB-8022-3750A600573E}"/>
            </c:ext>
          </c:extLst>
        </c:ser>
        <c:ser>
          <c:idx val="5"/>
          <c:order val="5"/>
          <c:tx>
            <c:strRef>
              <c:f>'G-SH7 PreProCombCentAmer,15-20'!$AC$94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PreProCombCentAmer,15-20'!$W$98,'G-SH7 PreProCombCentAmer,15-20'!$W$101,'G-SH7 PreProCombCentAmer,15-20'!$W$104,'G-SH7 PreProCombCentAmer,15-20'!$W$107)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PreProCombCentAmer,15-20'!$AC$98,'G-SH7 PreProCombCentAmer,15-20'!$AC$101,'G-SH7 PreProCombCentAmer,15-20'!$AC$104,'G-SH7 PreProCombCentAmer,15-20'!$AC$107)</c:f>
              <c:numCache>
                <c:formatCode>0.00</c:formatCode>
                <c:ptCount val="4"/>
                <c:pt idx="0">
                  <c:v>2.6633333333333336</c:v>
                </c:pt>
                <c:pt idx="1">
                  <c:v>3.23</c:v>
                </c:pt>
                <c:pt idx="2">
                  <c:v>2.9633333333333334</c:v>
                </c:pt>
                <c:pt idx="3">
                  <c:v>2.84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8-48BB-8022-3750A600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988776"/>
        <c:axId val="288994264"/>
      </c:lineChart>
      <c:catAx>
        <c:axId val="28898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Trimestre</a:t>
                </a:r>
              </a:p>
            </c:rich>
          </c:tx>
          <c:layout>
            <c:manualLayout>
              <c:xMode val="edge"/>
              <c:yMode val="edge"/>
              <c:x val="0.35395700269226005"/>
              <c:y val="0.93976910052040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4264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8994264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099447513812154E-2"/>
              <c:y val="0.457731958762886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88776"/>
        <c:crosses val="autoZero"/>
        <c:crossBetween val="between"/>
      </c:valAx>
      <c:spPr>
        <a:gradFill rotWithShape="0">
          <a:gsLst>
            <a:gs pos="0">
              <a:srgbClr val="FFCC99">
                <a:gamma/>
                <a:tint val="0"/>
                <a:invGamma/>
              </a:srgbClr>
            </a:gs>
            <a:gs pos="50000">
              <a:srgbClr val="FFCC99"/>
            </a:gs>
            <a:gs pos="100000">
              <a:srgbClr val="FFCC99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39837009324103"/>
          <c:y val="0.38762886597938145"/>
          <c:w val="0.15055263119734341"/>
          <c:h val="0.23711340206185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63105175292296"/>
          <c:y val="6.2500076294038504E-2"/>
          <c:w val="0.77963272120200333"/>
          <c:h val="0.71000086670027673"/>
        </c:manualLayout>
      </c:layout>
      <c:lineChart>
        <c:grouping val="standard"/>
        <c:varyColors val="0"/>
        <c:ser>
          <c:idx val="0"/>
          <c:order val="0"/>
          <c:tx>
            <c:strRef>
              <c:f>'G-SH-2 ValCIFBarrPetrImp,96-02'!$M$4:$N$4</c:f>
              <c:strCache>
                <c:ptCount val="1"/>
                <c:pt idx="0">
                  <c:v>Valor CIF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'G-SH-2 ValCIFBarrPetrImp,96-02'!$K$6:$K$12</c:f>
              <c:numCache>
                <c:formatCode>General</c:formatCode>
                <c:ptCount val="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</c:numCache>
            </c:numRef>
          </c:cat>
          <c:val>
            <c:numRef>
              <c:f>'G-SH-2 ValCIFBarrPetrImp,96-02'!$N$6:$N$12</c:f>
              <c:numCache>
                <c:formatCode>0.00</c:formatCode>
                <c:ptCount val="7"/>
                <c:pt idx="0">
                  <c:v>20.149999999999999</c:v>
                </c:pt>
                <c:pt idx="1">
                  <c:v>17.68</c:v>
                </c:pt>
                <c:pt idx="2">
                  <c:v>10.92</c:v>
                </c:pt>
                <c:pt idx="3">
                  <c:v>16.77</c:v>
                </c:pt>
                <c:pt idx="4" formatCode="#,##0.00">
                  <c:v>28.31</c:v>
                </c:pt>
                <c:pt idx="5" formatCode="#,##0.00">
                  <c:v>22.13</c:v>
                </c:pt>
                <c:pt idx="6" formatCode="#,##0.00">
                  <c:v>22.52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21-46F3-BEB4-E1CE954FB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51728"/>
        <c:axId val="276807280"/>
      </c:lineChart>
      <c:catAx>
        <c:axId val="27705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3589315525876458"/>
              <c:y val="0.91250104986876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7280"/>
        <c:crossesAt val="0"/>
        <c:auto val="1"/>
        <c:lblAlgn val="ctr"/>
        <c:lblOffset val="100"/>
        <c:tickMarkSkip val="1"/>
        <c:noMultiLvlLbl val="0"/>
      </c:catAx>
      <c:valAx>
        <c:axId val="276807280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Balboas por Barril</a:t>
                </a:r>
              </a:p>
            </c:rich>
          </c:tx>
          <c:layout>
            <c:manualLayout>
              <c:xMode val="edge"/>
              <c:yMode val="edge"/>
              <c:x val="3.6727879799666109E-2"/>
              <c:y val="0.297500262467191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051728"/>
        <c:crosses val="autoZero"/>
        <c:crossBetween val="between"/>
        <c:majorUnit val="5"/>
        <c:min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36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DIESEL
 EN CENTROAMERICA  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2019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9452736318407957"/>
          <c:y val="3.635116598079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26112790136"/>
          <c:y val="0.17695508808169388"/>
          <c:w val="0.7074632021507713"/>
          <c:h val="0.64403421592523469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PreProCombCentAmer,15-20'!$X$111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PreProCombCentAmer,15-20'!$X$115,'G-SH7 PreProCombCentAmer,15-20'!$X$118,'G-SH7 PreProCombCentAmer,15-20'!$X$121,'G-SH7 PreProCombCentAmer,15-20'!$X$124)</c:f>
              <c:numCache>
                <c:formatCode>0.00</c:formatCode>
                <c:ptCount val="4"/>
                <c:pt idx="0">
                  <c:v>3.31</c:v>
                </c:pt>
                <c:pt idx="1">
                  <c:v>3.55</c:v>
                </c:pt>
                <c:pt idx="2">
                  <c:v>3.49</c:v>
                </c:pt>
                <c:pt idx="3">
                  <c:v>3.55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D3-43BC-8391-D2995DF60879}"/>
            </c:ext>
          </c:extLst>
        </c:ser>
        <c:ser>
          <c:idx val="1"/>
          <c:order val="1"/>
          <c:tx>
            <c:strRef>
              <c:f>'G-SH7 PreProCombCentAmer,15-20'!$Y$111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PreProCombCentAmer,15-20'!$Y$115,'G-SH7 PreProCombCentAmer,15-20'!$Y$118,'G-SH7 PreProCombCentAmer,15-20'!$Y$121,'G-SH7 PreProCombCentAmer,15-20'!$Y$124)</c:f>
              <c:numCache>
                <c:formatCode>0.00</c:formatCode>
                <c:ptCount val="4"/>
                <c:pt idx="0">
                  <c:v>2.92</c:v>
                </c:pt>
                <c:pt idx="1">
                  <c:v>3.08</c:v>
                </c:pt>
                <c:pt idx="2">
                  <c:v>2.92</c:v>
                </c:pt>
                <c:pt idx="3">
                  <c:v>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D3-43BC-8391-D2995DF60879}"/>
            </c:ext>
          </c:extLst>
        </c:ser>
        <c:ser>
          <c:idx val="2"/>
          <c:order val="2"/>
          <c:tx>
            <c:strRef>
              <c:f>'G-SH7 PreProCombCentAmer,15-20'!$Z$111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PreProCombCentAmer,15-20'!$Z$115,'G-SH7 PreProCombCentAmer,15-20'!$Z$118,'G-SH7 PreProCombCentAmer,15-20'!$Z$121,'G-SH7 PreProCombCentAmer,15-20'!$Z$124)</c:f>
              <c:numCache>
                <c:formatCode>0.00</c:formatCode>
                <c:ptCount val="4"/>
                <c:pt idx="0">
                  <c:v>2.7</c:v>
                </c:pt>
                <c:pt idx="1">
                  <c:v>2.81</c:v>
                </c:pt>
                <c:pt idx="2">
                  <c:v>2.7</c:v>
                </c:pt>
                <c:pt idx="3">
                  <c:v>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D3-43BC-8391-D2995DF60879}"/>
            </c:ext>
          </c:extLst>
        </c:ser>
        <c:ser>
          <c:idx val="3"/>
          <c:order val="3"/>
          <c:tx>
            <c:strRef>
              <c:f>'G-SH7 PreProCombCentAmer,15-20'!$AA$111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PreProCombCentAmer,15-20'!$AA$115,'G-SH7 PreProCombCentAmer,15-20'!$AA$118,'G-SH7 PreProCombCentAmer,15-20'!$AA$121,'G-SH7 PreProCombCentAmer,15-20'!$AA$124)</c:f>
              <c:numCache>
                <c:formatCode>0.00</c:formatCode>
                <c:ptCount val="4"/>
                <c:pt idx="0">
                  <c:v>3.25</c:v>
                </c:pt>
                <c:pt idx="1">
                  <c:v>3.39</c:v>
                </c:pt>
                <c:pt idx="2">
                  <c:v>3.25</c:v>
                </c:pt>
                <c:pt idx="3">
                  <c:v>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FD3-43BC-8391-D2995DF60879}"/>
            </c:ext>
          </c:extLst>
        </c:ser>
        <c:ser>
          <c:idx val="4"/>
          <c:order val="4"/>
          <c:tx>
            <c:strRef>
              <c:f>'G-SH7 PreProCombCentAmer,15-20'!$AB$111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PreProCombCentAmer,15-20'!$AB$115,'G-SH7 PreProCombCentAmer,15-20'!$AB$118,'G-SH7 PreProCombCentAmer,15-20'!$AB$121,'G-SH7 PreProCombCentAmer,15-20'!$AB$124)</c:f>
              <c:numCache>
                <c:formatCode>0.00</c:formatCode>
                <c:ptCount val="4"/>
                <c:pt idx="0">
                  <c:v>3.29</c:v>
                </c:pt>
                <c:pt idx="1">
                  <c:v>3.38</c:v>
                </c:pt>
                <c:pt idx="2">
                  <c:v>3.32</c:v>
                </c:pt>
                <c:pt idx="3">
                  <c:v>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FD3-43BC-8391-D2995DF60879}"/>
            </c:ext>
          </c:extLst>
        </c:ser>
        <c:ser>
          <c:idx val="5"/>
          <c:order val="5"/>
          <c:tx>
            <c:strRef>
              <c:f>'G-SH7 PreProCombCentAmer,15-20'!$AC$111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PreProCombCentAmer,15-20'!$AC$115,'G-SH7 PreProCombCentAmer,15-20'!$AC$118,'G-SH7 PreProCombCentAmer,15-20'!$AC$121,'G-SH7 PreProCombCentAmer,15-20'!$AC$124)</c:f>
              <c:numCache>
                <c:formatCode>0.00</c:formatCode>
                <c:ptCount val="4"/>
                <c:pt idx="0">
                  <c:v>2.6633333333333331</c:v>
                </c:pt>
                <c:pt idx="1">
                  <c:v>2.8800000000000003</c:v>
                </c:pt>
                <c:pt idx="2">
                  <c:v>2.813333333333333</c:v>
                </c:pt>
                <c:pt idx="3">
                  <c:v>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FD3-43BC-8391-D2995DF6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995048"/>
        <c:axId val="288989952"/>
      </c:lineChart>
      <c:catAx>
        <c:axId val="288995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Mes</a:t>
                </a:r>
              </a:p>
            </c:rich>
          </c:tx>
          <c:layout>
            <c:manualLayout>
              <c:xMode val="edge"/>
              <c:yMode val="edge"/>
              <c:x val="0.43432867160261684"/>
              <c:y val="0.92592787012734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8995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8989952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3880597014925373E-2"/>
              <c:y val="0.45267576120886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5048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37376111568139"/>
          <c:y val="0.38065930030351142"/>
          <c:w val="0.16268672386100991"/>
          <c:h val="0.23662594644805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SUPERIOR     
EN CENTROAMERICA       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2020</a:t>
            </a:r>
          </a:p>
        </c:rich>
      </c:tx>
      <c:layout>
        <c:manualLayout>
          <c:xMode val="edge"/>
          <c:yMode val="edge"/>
          <c:x val="0.21359223300970873"/>
          <c:y val="3.09917355371900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2655391718993E-2"/>
          <c:y val="0.19214895417919742"/>
          <c:w val="0.73133252303193652"/>
          <c:h val="0.62603368942254634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PreProCombCentAmer,15-20'!$X$77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PreProCombCentAmer,15-20'!$W$15,'G-SH7 PreProCombCentAmer,15-20'!$W$18,'G-SH7 PreProCombCentAmer,15-20'!$W$21,'G-SH7 PreProCombCentAmer,15-20'!$W$24)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PreProCombCentAmer,15-20'!$X$15,'G-SH7 PreProCombCentAmer,15-20'!$X$18,'G-SH7 PreProCombCentAmer,15-20'!$X$21,'G-SH7 PreProCombCentAmer,15-20'!$X$24)</c:f>
              <c:numCache>
                <c:formatCode>0.00</c:formatCode>
                <c:ptCount val="4"/>
                <c:pt idx="0">
                  <c:v>4.13</c:v>
                </c:pt>
                <c:pt idx="1">
                  <c:v>3.81</c:v>
                </c:pt>
                <c:pt idx="2">
                  <c:v>3.71</c:v>
                </c:pt>
                <c:pt idx="3">
                  <c:v>3.59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39-4CA5-A94E-6A372A18128A}"/>
            </c:ext>
          </c:extLst>
        </c:ser>
        <c:ser>
          <c:idx val="1"/>
          <c:order val="1"/>
          <c:tx>
            <c:strRef>
              <c:f>'G-SH7 PreProCombCentAmer,15-20'!$Y$77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PreProCombCentAmer,15-20'!$W$15,'G-SH7 PreProCombCentAmer,15-20'!$W$18,'G-SH7 PreProCombCentAmer,15-20'!$W$21,'G-SH7 PreProCombCentAmer,15-20'!$W$24)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PreProCombCentAmer,15-20'!$Y$15,'G-SH7 PreProCombCentAmer,15-20'!$Y$18,'G-SH7 PreProCombCentAmer,15-20'!$Y$21,'G-SH7 PreProCombCentAmer,15-20'!$Y$24)</c:f>
              <c:numCache>
                <c:formatCode>0.00</c:formatCode>
                <c:ptCount val="4"/>
                <c:pt idx="0">
                  <c:v>3.21</c:v>
                </c:pt>
                <c:pt idx="1">
                  <c:v>2.29</c:v>
                </c:pt>
                <c:pt idx="2">
                  <c:v>2.66</c:v>
                </c:pt>
                <c:pt idx="3">
                  <c:v>2.62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39-4CA5-A94E-6A372A18128A}"/>
            </c:ext>
          </c:extLst>
        </c:ser>
        <c:ser>
          <c:idx val="2"/>
          <c:order val="2"/>
          <c:tx>
            <c:strRef>
              <c:f>'G-SH7 PreProCombCentAmer,15-20'!$Z$77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PreProCombCentAmer,15-20'!$W$15,'G-SH7 PreProCombCentAmer,15-20'!$W$18,'G-SH7 PreProCombCentAmer,15-20'!$W$21,'G-SH7 PreProCombCentAmer,15-20'!$W$24)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PreProCombCentAmer,15-20'!$Z$15,'G-SH7 PreProCombCentAmer,15-20'!$Z$18,'G-SH7 PreProCombCentAmer,15-20'!$Z$21,'G-SH7 PreProCombCentAmer,15-20'!$Z$24)</c:f>
              <c:numCache>
                <c:formatCode>0.00</c:formatCode>
                <c:ptCount val="4"/>
                <c:pt idx="0">
                  <c:v>3.08</c:v>
                </c:pt>
                <c:pt idx="1">
                  <c:v>2.4</c:v>
                </c:pt>
                <c:pt idx="2">
                  <c:v>2.75</c:v>
                </c:pt>
                <c:pt idx="3">
                  <c:v>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39-4CA5-A94E-6A372A18128A}"/>
            </c:ext>
          </c:extLst>
        </c:ser>
        <c:ser>
          <c:idx val="3"/>
          <c:order val="3"/>
          <c:tx>
            <c:strRef>
              <c:f>'G-SH7 PreProCombCentAmer,15-20'!$AA$77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PreProCombCentAmer,15-20'!$W$15,'G-SH7 PreProCombCentAmer,15-20'!$W$18,'G-SH7 PreProCombCentAmer,15-20'!$W$21,'G-SH7 PreProCombCentAmer,15-20'!$W$24)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PreProCombCentAmer,15-20'!$AA$15,'G-SH7 PreProCombCentAmer,15-20'!$AA$18,'G-SH7 PreProCombCentAmer,15-20'!$AA$21,'G-SH7 PreProCombCentAmer,15-20'!$AA$24)</c:f>
              <c:numCache>
                <c:formatCode>0.00</c:formatCode>
                <c:ptCount val="4"/>
                <c:pt idx="0">
                  <c:v>3.78</c:v>
                </c:pt>
                <c:pt idx="1">
                  <c:v>2.88</c:v>
                </c:pt>
                <c:pt idx="2">
                  <c:v>3.29</c:v>
                </c:pt>
                <c:pt idx="3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39-4CA5-A94E-6A372A18128A}"/>
            </c:ext>
          </c:extLst>
        </c:ser>
        <c:ser>
          <c:idx val="4"/>
          <c:order val="4"/>
          <c:tx>
            <c:strRef>
              <c:f>'G-SH7 PreProCombCentAmer,15-20'!$AB$77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PreProCombCentAmer,15-20'!$W$15,'G-SH7 PreProCombCentAmer,15-20'!$W$18,'G-SH7 PreProCombCentAmer,15-20'!$W$21,'G-SH7 PreProCombCentAmer,15-20'!$W$24)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PreProCombCentAmer,15-20'!$AB$15,'G-SH7 PreProCombCentAmer,15-20'!$AB$18,'G-SH7 PreProCombCentAmer,15-20'!$AB$21,'G-SH7 PreProCombCentAmer,15-20'!$AB$24)</c:f>
              <c:numCache>
                <c:formatCode>0.00</c:formatCode>
                <c:ptCount val="4"/>
                <c:pt idx="0">
                  <c:v>3.6</c:v>
                </c:pt>
                <c:pt idx="1">
                  <c:v>2.93</c:v>
                </c:pt>
                <c:pt idx="2">
                  <c:v>3.26</c:v>
                </c:pt>
                <c:pt idx="3">
                  <c:v>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39-4CA5-A94E-6A372A18128A}"/>
            </c:ext>
          </c:extLst>
        </c:ser>
        <c:ser>
          <c:idx val="5"/>
          <c:order val="5"/>
          <c:tx>
            <c:strRef>
              <c:f>'G-SH7 PreProCombCentAmer,15-20'!$AC$77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PreProCombCentAmer,15-20'!$W$15,'G-SH7 PreProCombCentAmer,15-20'!$W$18,'G-SH7 PreProCombCentAmer,15-20'!$W$21,'G-SH7 PreProCombCentAmer,15-20'!$W$24)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PreProCombCentAmer,15-20'!$AC$15,'G-SH7 PreProCombCentAmer,15-20'!$AC$18,'G-SH7 PreProCombCentAmer,15-20'!$AC$21,'G-SH7 PreProCombCentAmer,15-20'!$AC$24)</c:f>
              <c:numCache>
                <c:formatCode>0.00</c:formatCode>
                <c:ptCount val="4"/>
                <c:pt idx="0">
                  <c:v>2.89</c:v>
                </c:pt>
                <c:pt idx="1">
                  <c:v>2.0099999999999998</c:v>
                </c:pt>
                <c:pt idx="2">
                  <c:v>2.44</c:v>
                </c:pt>
                <c:pt idx="3">
                  <c:v>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39-4CA5-A94E-6A372A18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989560"/>
        <c:axId val="288993480"/>
      </c:lineChart>
      <c:catAx>
        <c:axId val="288989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Trimestre</a:t>
                </a:r>
              </a:p>
            </c:rich>
          </c:tx>
          <c:layout>
            <c:manualLayout>
              <c:xMode val="edge"/>
              <c:yMode val="edge"/>
              <c:x val="0.38626487683837962"/>
              <c:y val="0.92626464374879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3480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8993480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456612004078002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89560"/>
        <c:crosses val="autoZero"/>
        <c:crossBetween val="between"/>
      </c:valAx>
      <c:spPr>
        <a:gradFill rotWithShape="0">
          <a:gsLst>
            <a:gs pos="0">
              <a:srgbClr val="CCFFFF"/>
            </a:gs>
            <a:gs pos="50000">
              <a:srgbClr val="CCFFFF">
                <a:gamma/>
                <a:tint val="0"/>
                <a:invGamma/>
              </a:srgbClr>
            </a:gs>
            <a:gs pos="100000">
              <a:srgbClr val="CCFFFF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72596386616716"/>
          <c:y val="0.38636407019370511"/>
          <c:w val="0.1511790637820758"/>
          <c:h val="0.237603522700158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CC99">
            <a:gamma/>
            <a:tint val="0"/>
            <a:invGamma/>
          </a:srgbClr>
        </a:gs>
        <a:gs pos="50000">
          <a:srgbClr val="FFCC99"/>
        </a:gs>
        <a:gs pos="100000">
          <a:srgbClr val="FFCC99">
            <a:gamma/>
            <a:tint val="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GASOLINA REGULAR
 EN CENTROAMERICA  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2020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1823204419889503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7479751726313"/>
          <c:y val="0.19442886780862551"/>
          <c:w val="0.72099496139270869"/>
          <c:h val="0.6268041237113402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PreProCombCentAmer,15-20'!$X$94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PreProCombCentAmer,15-20'!$W$32,'G-SH7 PreProCombCentAmer,15-20'!$W$35,'G-SH7 PreProCombCentAmer,15-20'!$W$38,'G-SH7 PreProCombCentAmer,15-20'!$W$41)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PreProCombCentAmer,15-20'!$X$32,'G-SH7 PreProCombCentAmer,15-20'!$X$35,'G-SH7 PreProCombCentAmer,15-20'!$X$38,'G-SH7 PreProCombCentAmer,15-20'!$X$41)</c:f>
              <c:numCache>
                <c:formatCode>0.00</c:formatCode>
                <c:ptCount val="4"/>
                <c:pt idx="0">
                  <c:v>4</c:v>
                </c:pt>
                <c:pt idx="1">
                  <c:v>3.65</c:v>
                </c:pt>
                <c:pt idx="2">
                  <c:v>3.55</c:v>
                </c:pt>
                <c:pt idx="3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8-48BB-8022-3750A600573E}"/>
            </c:ext>
          </c:extLst>
        </c:ser>
        <c:ser>
          <c:idx val="1"/>
          <c:order val="1"/>
          <c:tx>
            <c:strRef>
              <c:f>'G-SH7 PreProCombCentAmer,15-20'!$Y$94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PreProCombCentAmer,15-20'!$W$32,'G-SH7 PreProCombCentAmer,15-20'!$W$35,'G-SH7 PreProCombCentAmer,15-20'!$W$38,'G-SH7 PreProCombCentAmer,15-20'!$W$41)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PreProCombCentAmer,15-20'!$Y$32,'G-SH7 PreProCombCentAmer,15-20'!$Y$35,'G-SH7 PreProCombCentAmer,15-20'!$Y$38,'G-SH7 PreProCombCentAmer,15-20'!$Y$41)</c:f>
              <c:numCache>
                <c:formatCode>0.00</c:formatCode>
                <c:ptCount val="4"/>
                <c:pt idx="0">
                  <c:v>2.98</c:v>
                </c:pt>
                <c:pt idx="1">
                  <c:v>2.1</c:v>
                </c:pt>
                <c:pt idx="2">
                  <c:v>2.5099999999999998</c:v>
                </c:pt>
                <c:pt idx="3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8-48BB-8022-3750A600573E}"/>
            </c:ext>
          </c:extLst>
        </c:ser>
        <c:ser>
          <c:idx val="2"/>
          <c:order val="2"/>
          <c:tx>
            <c:strRef>
              <c:f>'G-SH7 PreProCombCentAmer,15-20'!$Z$94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PreProCombCentAmer,15-20'!$W$32,'G-SH7 PreProCombCentAmer,15-20'!$W$35,'G-SH7 PreProCombCentAmer,15-20'!$W$38,'G-SH7 PreProCombCentAmer,15-20'!$W$41)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PreProCombCentAmer,15-20'!$Z$32,'G-SH7 PreProCombCentAmer,15-20'!$Z$35,'G-SH7 PreProCombCentAmer,15-20'!$Z$38,'G-SH7 PreProCombCentAmer,15-20'!$Z$41)</c:f>
              <c:numCache>
                <c:formatCode>0.00</c:formatCode>
                <c:ptCount val="4"/>
                <c:pt idx="0">
                  <c:v>2.95</c:v>
                </c:pt>
                <c:pt idx="1">
                  <c:v>2.2799999999999998</c:v>
                </c:pt>
                <c:pt idx="2">
                  <c:v>2.64</c:v>
                </c:pt>
                <c:pt idx="3">
                  <c:v>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8-48BB-8022-3750A600573E}"/>
            </c:ext>
          </c:extLst>
        </c:ser>
        <c:ser>
          <c:idx val="3"/>
          <c:order val="3"/>
          <c:tx>
            <c:strRef>
              <c:f>'G-SH7 PreProCombCentAmer,15-20'!$AA$94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PreProCombCentAmer,15-20'!$W$32,'G-SH7 PreProCombCentAmer,15-20'!$W$35,'G-SH7 PreProCombCentAmer,15-20'!$W$38,'G-SH7 PreProCombCentAmer,15-20'!$W$41)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PreProCombCentAmer,15-20'!$AA$32,'G-SH7 PreProCombCentAmer,15-20'!$AA$35,'G-SH7 PreProCombCentAmer,15-20'!$AA$38,'G-SH7 PreProCombCentAmer,15-20'!$AA$41)</c:f>
              <c:numCache>
                <c:formatCode>0.00</c:formatCode>
                <c:ptCount val="4"/>
                <c:pt idx="0">
                  <c:v>3.42</c:v>
                </c:pt>
                <c:pt idx="1">
                  <c:v>2.57</c:v>
                </c:pt>
                <c:pt idx="2">
                  <c:v>3.02</c:v>
                </c:pt>
                <c:pt idx="3">
                  <c:v>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8-48BB-8022-3750A600573E}"/>
            </c:ext>
          </c:extLst>
        </c:ser>
        <c:ser>
          <c:idx val="4"/>
          <c:order val="4"/>
          <c:tx>
            <c:strRef>
              <c:f>'G-SH7 PreProCombCentAmer,15-20'!$AB$94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PreProCombCentAmer,15-20'!$W$32,'G-SH7 PreProCombCentAmer,15-20'!$W$35,'G-SH7 PreProCombCentAmer,15-20'!$W$38,'G-SH7 PreProCombCentAmer,15-20'!$W$41)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PreProCombCentAmer,15-20'!$AB$32,'G-SH7 PreProCombCentAmer,15-20'!$AB$35,'G-SH7 PreProCombCentAmer,15-20'!$AB$38,'G-SH7 PreProCombCentAmer,15-20'!$AB$41)</c:f>
              <c:numCache>
                <c:formatCode>0.00</c:formatCode>
                <c:ptCount val="4"/>
                <c:pt idx="0">
                  <c:v>3.43</c:v>
                </c:pt>
                <c:pt idx="1">
                  <c:v>2.85</c:v>
                </c:pt>
                <c:pt idx="2">
                  <c:v>3.19</c:v>
                </c:pt>
                <c:pt idx="3">
                  <c:v>3.18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8-48BB-8022-3750A600573E}"/>
            </c:ext>
          </c:extLst>
        </c:ser>
        <c:ser>
          <c:idx val="5"/>
          <c:order val="5"/>
          <c:tx>
            <c:strRef>
              <c:f>'G-SH7 PreProCombCentAmer,15-20'!$AC$94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PreProCombCentAmer,15-20'!$W$32,'G-SH7 PreProCombCentAmer,15-20'!$W$35,'G-SH7 PreProCombCentAmer,15-20'!$W$38,'G-SH7 PreProCombCentAmer,15-20'!$W$41)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PreProCombCentAmer,15-20'!$AC$32,'G-SH7 PreProCombCentAmer,15-20'!$AC$35,'G-SH7 PreProCombCentAmer,15-20'!$AC$38,'G-SH7 PreProCombCentAmer,15-20'!$AC$41)</c:f>
              <c:numCache>
                <c:formatCode>0.00</c:formatCode>
                <c:ptCount val="4"/>
                <c:pt idx="0">
                  <c:v>2.74</c:v>
                </c:pt>
                <c:pt idx="1">
                  <c:v>1.94</c:v>
                </c:pt>
                <c:pt idx="2">
                  <c:v>2.4226560000000004</c:v>
                </c:pt>
                <c:pt idx="3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8-48BB-8022-3750A600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993088"/>
        <c:axId val="288990736"/>
      </c:lineChart>
      <c:catAx>
        <c:axId val="2889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Trimestre</a:t>
                </a:r>
              </a:p>
            </c:rich>
          </c:tx>
          <c:layout>
            <c:manualLayout>
              <c:xMode val="edge"/>
              <c:yMode val="edge"/>
              <c:x val="0.35395700269226005"/>
              <c:y val="0.93976910052040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0736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899073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2099447513812154E-2"/>
              <c:y val="0.457731958762886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3088"/>
        <c:crosses val="autoZero"/>
        <c:crossBetween val="between"/>
      </c:valAx>
      <c:spPr>
        <a:gradFill rotWithShape="0">
          <a:gsLst>
            <a:gs pos="0">
              <a:srgbClr val="FFCC99">
                <a:gamma/>
                <a:tint val="0"/>
                <a:invGamma/>
              </a:srgbClr>
            </a:gs>
            <a:gs pos="50000">
              <a:srgbClr val="FFCC99"/>
            </a:gs>
            <a:gs pos="100000">
              <a:srgbClr val="FFCC99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39837009324103"/>
          <c:y val="0.38762886597938145"/>
          <c:w val="0.15055263119734341"/>
          <c:h val="0.23711340206185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PRECIO PROMEDIO MENSUAL DE DIESEL
 EN CENTROAMERICA  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Año 2020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A"/>
          </a:p>
        </c:rich>
      </c:tx>
      <c:layout>
        <c:manualLayout>
          <c:xMode val="edge"/>
          <c:yMode val="edge"/>
          <c:x val="0.29452736318407957"/>
          <c:y val="3.635116598079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26112790136"/>
          <c:y val="0.17695508808169388"/>
          <c:w val="0.7074632021507713"/>
          <c:h val="0.64403421592523469"/>
        </c:manualLayout>
      </c:layout>
      <c:lineChart>
        <c:grouping val="standard"/>
        <c:varyColors val="0"/>
        <c:ser>
          <c:idx val="0"/>
          <c:order val="0"/>
          <c:tx>
            <c:strRef>
              <c:f>'G-SH7 PreProCombCentAmer,15-20'!$X$111</c:f>
              <c:strCache>
                <c:ptCount val="1"/>
                <c:pt idx="0">
                  <c:v>COSTA RICA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PreProCombCentAmer,15-20'!$X$81,'G-SH7 PreProCombCentAmer,15-20'!$X$84,'G-SH7 PreProCombCentAmer,15-20'!$X$87,'G-SH7 PreProCombCentAmer,15-20'!$X$90)</c:f>
              <c:numCache>
                <c:formatCode>0.00</c:formatCode>
                <c:ptCount val="4"/>
                <c:pt idx="0">
                  <c:v>3.67</c:v>
                </c:pt>
                <c:pt idx="1">
                  <c:v>4.21</c:v>
                </c:pt>
                <c:pt idx="2">
                  <c:v>4.3099999999999996</c:v>
                </c:pt>
                <c:pt idx="3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D3-43BC-8391-D2995DF60879}"/>
            </c:ext>
          </c:extLst>
        </c:ser>
        <c:ser>
          <c:idx val="1"/>
          <c:order val="1"/>
          <c:tx>
            <c:strRef>
              <c:f>'G-SH7 PreProCombCentAmer,15-20'!$Y$111</c:f>
              <c:strCache>
                <c:ptCount val="1"/>
                <c:pt idx="0">
                  <c:v>EL SALVADOR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PreProCombCentAmer,15-20'!$Y$49,'G-SH7 PreProCombCentAmer,15-20'!$Y$52,'G-SH7 PreProCombCentAmer,15-20'!$Y$55,'G-SH7 PreProCombCentAmer,15-20'!$Y$58)</c:f>
              <c:numCache>
                <c:formatCode>0.00</c:formatCode>
                <c:ptCount val="4"/>
                <c:pt idx="0">
                  <c:v>2.82</c:v>
                </c:pt>
                <c:pt idx="1">
                  <c:v>1.95</c:v>
                </c:pt>
                <c:pt idx="2">
                  <c:v>2.16</c:v>
                </c:pt>
                <c:pt idx="3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D3-43BC-8391-D2995DF60879}"/>
            </c:ext>
          </c:extLst>
        </c:ser>
        <c:ser>
          <c:idx val="2"/>
          <c:order val="2"/>
          <c:tx>
            <c:strRef>
              <c:f>'G-SH7 PreProCombCentAmer,15-20'!$Z$111</c:f>
              <c:strCache>
                <c:ptCount val="1"/>
                <c:pt idx="0">
                  <c:v>GUATEMALA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PreProCombCentAmer,15-20'!$Z$49,'G-SH7 PreProCombCentAmer,15-20'!$Z$52,'G-SH7 PreProCombCentAmer,15-20'!$Z$55,'G-SH7 PreProCombCentAmer,15-20'!$Z$58)</c:f>
              <c:numCache>
                <c:formatCode>0.00</c:formatCode>
                <c:ptCount val="4"/>
                <c:pt idx="0">
                  <c:v>3.08</c:v>
                </c:pt>
                <c:pt idx="1">
                  <c:v>3.2</c:v>
                </c:pt>
                <c:pt idx="2">
                  <c:v>3.32</c:v>
                </c:pt>
                <c:pt idx="3">
                  <c:v>3.42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D3-43BC-8391-D2995DF60879}"/>
            </c:ext>
          </c:extLst>
        </c:ser>
        <c:ser>
          <c:idx val="3"/>
          <c:order val="3"/>
          <c:tx>
            <c:strRef>
              <c:f>'G-SH7 PreProCombCentAmer,15-20'!$AA$111</c:f>
              <c:strCache>
                <c:ptCount val="1"/>
                <c:pt idx="0">
                  <c:v>HONDURAS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PreProCombCentAmer,15-20'!$AA$49,'G-SH7 PreProCombCentAmer,15-20'!$AA$52,'G-SH7 PreProCombCentAmer,15-20'!$AA$55,'G-SH7 PreProCombCentAmer,15-20'!$AA$58)</c:f>
              <c:numCache>
                <c:formatCode>0.00</c:formatCode>
                <c:ptCount val="4"/>
                <c:pt idx="0">
                  <c:v>3.12</c:v>
                </c:pt>
                <c:pt idx="1">
                  <c:v>2.33</c:v>
                </c:pt>
                <c:pt idx="2">
                  <c:v>2.6</c:v>
                </c:pt>
                <c:pt idx="3">
                  <c:v>2.57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FD3-43BC-8391-D2995DF60879}"/>
            </c:ext>
          </c:extLst>
        </c:ser>
        <c:ser>
          <c:idx val="4"/>
          <c:order val="4"/>
          <c:tx>
            <c:strRef>
              <c:f>'G-SH7 PreProCombCentAmer,15-20'!$AB$111</c:f>
              <c:strCache>
                <c:ptCount val="1"/>
                <c:pt idx="0">
                  <c:v>NICARAGUA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PreProCombCentAmer,15-20'!$AB$49,'G-SH7 PreProCombCentAmer,15-20'!$AB$52,'G-SH7 PreProCombCentAmer,15-20'!$AB$55,'G-SH7 PreProCombCentAmer,15-20'!$AB$58)</c:f>
              <c:numCache>
                <c:formatCode>0.00</c:formatCode>
                <c:ptCount val="4"/>
                <c:pt idx="0">
                  <c:v>3.12</c:v>
                </c:pt>
                <c:pt idx="1">
                  <c:v>2.4500000000000002</c:v>
                </c:pt>
                <c:pt idx="2">
                  <c:v>2.7</c:v>
                </c:pt>
                <c:pt idx="3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FD3-43BC-8391-D2995DF60879}"/>
            </c:ext>
          </c:extLst>
        </c:ser>
        <c:ser>
          <c:idx val="5"/>
          <c:order val="5"/>
          <c:tx>
            <c:strRef>
              <c:f>'G-SH7 PreProCombCentAmer,15-20'!$AC$111</c:f>
              <c:strCache>
                <c:ptCount val="1"/>
                <c:pt idx="0">
                  <c:v>PANAMA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('G-SH7 PreProCombCentAmer,15-20'!$W$115,'G-SH7 PreProCombCentAmer,15-20'!$W$118,'G-SH7 PreProCombCentAmer,15-20'!$W$121,'G-SH7 PreProCombCentAmer,15-20'!$W$124)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('G-SH7 PreProCombCentAmer,15-20'!$AC$49,'G-SH7 PreProCombCentAmer,15-20'!$AC$52,'G-SH7 PreProCombCentAmer,15-20'!$AC$55,'G-SH7 PreProCombCentAmer,15-20'!$AC$58)</c:f>
              <c:numCache>
                <c:formatCode>0.00</c:formatCode>
                <c:ptCount val="4"/>
                <c:pt idx="0">
                  <c:v>2.5109820000000003</c:v>
                </c:pt>
                <c:pt idx="1">
                  <c:v>1.6781940000000002</c:v>
                </c:pt>
                <c:pt idx="2">
                  <c:v>1.9936440000000004</c:v>
                </c:pt>
                <c:pt idx="3">
                  <c:v>2.0188799999999998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FD3-43BC-8391-D2995DF6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991520"/>
        <c:axId val="288991912"/>
      </c:lineChart>
      <c:catAx>
        <c:axId val="2889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Trimestre</a:t>
                </a:r>
              </a:p>
            </c:rich>
          </c:tx>
          <c:layout>
            <c:manualLayout>
              <c:xMode val="edge"/>
              <c:yMode val="edge"/>
              <c:x val="0.39182891185254987"/>
              <c:y val="0.934015132459433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191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288991912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A"/>
                  <a:t>$/Galón</a:t>
                </a:r>
              </a:p>
            </c:rich>
          </c:tx>
          <c:layout>
            <c:manualLayout>
              <c:xMode val="edge"/>
              <c:yMode val="edge"/>
              <c:x val="2.3880597014925373E-2"/>
              <c:y val="0.45267576120886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91520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37376111568139"/>
          <c:y val="0.38065930030351142"/>
          <c:w val="0.16268672386100991"/>
          <c:h val="0.23662594644805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CC"/>
        </a:gs>
        <a:gs pos="50000">
          <a:srgbClr val="FFFFCC">
            <a:gamma/>
            <a:tint val="0"/>
            <a:invGamma/>
          </a:srgbClr>
        </a:gs>
        <a:gs pos="100000">
          <a:srgbClr val="FFFF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5755943708699"/>
          <c:y val="0.17372665495464751"/>
          <c:w val="0.83195266272189361"/>
          <c:h val="0.5228215767634878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'G-SH-4 ConsNacDerPetr,96-21'!$U$7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'G-SH-4 ConsNacDerPetr,96-21'!$S$8:$S$33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'G-SH-4 ConsNacDerPetr,96-21'!$U$8:$U$33</c:f>
              <c:numCache>
                <c:formatCode>#,##0</c:formatCode>
                <c:ptCount val="26"/>
                <c:pt idx="0">
                  <c:v>112835</c:v>
                </c:pt>
                <c:pt idx="1">
                  <c:v>121154</c:v>
                </c:pt>
                <c:pt idx="2">
                  <c:v>135616</c:v>
                </c:pt>
                <c:pt idx="3">
                  <c:v>142766</c:v>
                </c:pt>
                <c:pt idx="4">
                  <c:v>139098</c:v>
                </c:pt>
                <c:pt idx="5">
                  <c:v>137970</c:v>
                </c:pt>
                <c:pt idx="6">
                  <c:v>140817</c:v>
                </c:pt>
                <c:pt idx="7">
                  <c:v>144105</c:v>
                </c:pt>
                <c:pt idx="8">
                  <c:v>152161</c:v>
                </c:pt>
                <c:pt idx="9">
                  <c:v>146100</c:v>
                </c:pt>
                <c:pt idx="10">
                  <c:v>148310</c:v>
                </c:pt>
                <c:pt idx="11">
                  <c:v>163695</c:v>
                </c:pt>
                <c:pt idx="12">
                  <c:v>170182</c:v>
                </c:pt>
                <c:pt idx="13">
                  <c:v>197475</c:v>
                </c:pt>
                <c:pt idx="14">
                  <c:v>211606</c:v>
                </c:pt>
                <c:pt idx="15">
                  <c:v>220396</c:v>
                </c:pt>
                <c:pt idx="16">
                  <c:v>233892</c:v>
                </c:pt>
                <c:pt idx="17">
                  <c:v>244131</c:v>
                </c:pt>
                <c:pt idx="18">
                  <c:v>263114</c:v>
                </c:pt>
                <c:pt idx="19">
                  <c:v>288230</c:v>
                </c:pt>
                <c:pt idx="20">
                  <c:v>310013</c:v>
                </c:pt>
                <c:pt idx="21">
                  <c:v>327795</c:v>
                </c:pt>
                <c:pt idx="22">
                  <c:v>330765</c:v>
                </c:pt>
                <c:pt idx="23">
                  <c:v>339421</c:v>
                </c:pt>
                <c:pt idx="24">
                  <c:v>241640</c:v>
                </c:pt>
                <c:pt idx="25">
                  <c:v>310218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51-4849-8934-43FC6028B16C}"/>
            </c:ext>
          </c:extLst>
        </c:ser>
        <c:ser>
          <c:idx val="2"/>
          <c:order val="2"/>
          <c:tx>
            <c:strRef>
              <c:f>'G-SH-4 ConsNacDerPetr,96-21'!$V$7</c:f>
              <c:strCache>
                <c:ptCount val="1"/>
                <c:pt idx="0">
                  <c:v>Diesel Liv.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'G-SH-4 ConsNacDerPetr,96-21'!$S$8:$S$33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'G-SH-4 ConsNacDerPetr,96-21'!$V$8:$V$33</c:f>
              <c:numCache>
                <c:formatCode>#,##0</c:formatCode>
                <c:ptCount val="26"/>
                <c:pt idx="0">
                  <c:v>149735</c:v>
                </c:pt>
                <c:pt idx="1">
                  <c:v>181983</c:v>
                </c:pt>
                <c:pt idx="2">
                  <c:v>226489</c:v>
                </c:pt>
                <c:pt idx="3">
                  <c:v>181085</c:v>
                </c:pt>
                <c:pt idx="4">
                  <c:v>172230</c:v>
                </c:pt>
                <c:pt idx="5">
                  <c:v>175221</c:v>
                </c:pt>
                <c:pt idx="6">
                  <c:v>180187</c:v>
                </c:pt>
                <c:pt idx="7">
                  <c:v>202815</c:v>
                </c:pt>
                <c:pt idx="8">
                  <c:v>212312</c:v>
                </c:pt>
                <c:pt idx="9">
                  <c:v>200809</c:v>
                </c:pt>
                <c:pt idx="10">
                  <c:v>201026</c:v>
                </c:pt>
                <c:pt idx="11">
                  <c:v>264539</c:v>
                </c:pt>
                <c:pt idx="12">
                  <c:v>285124</c:v>
                </c:pt>
                <c:pt idx="13">
                  <c:v>285786</c:v>
                </c:pt>
                <c:pt idx="14">
                  <c:v>330023</c:v>
                </c:pt>
                <c:pt idx="15">
                  <c:v>378767</c:v>
                </c:pt>
                <c:pt idx="16">
                  <c:v>353421</c:v>
                </c:pt>
                <c:pt idx="17">
                  <c:v>378107</c:v>
                </c:pt>
                <c:pt idx="18">
                  <c:v>433382</c:v>
                </c:pt>
                <c:pt idx="19">
                  <c:v>361974</c:v>
                </c:pt>
                <c:pt idx="20">
                  <c:v>350717</c:v>
                </c:pt>
                <c:pt idx="21">
                  <c:v>370206</c:v>
                </c:pt>
                <c:pt idx="22">
                  <c:v>365939</c:v>
                </c:pt>
                <c:pt idx="23">
                  <c:v>368537</c:v>
                </c:pt>
                <c:pt idx="24">
                  <c:v>273706</c:v>
                </c:pt>
                <c:pt idx="25">
                  <c:v>343216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51-4849-8934-43FC6028B16C}"/>
            </c:ext>
          </c:extLst>
        </c:ser>
        <c:ser>
          <c:idx val="3"/>
          <c:order val="3"/>
          <c:tx>
            <c:strRef>
              <c:f>'G-SH-4 ConsNacDerPetr,96-21'!$W$7</c:f>
              <c:strCache>
                <c:ptCount val="1"/>
                <c:pt idx="0">
                  <c:v>Bunker C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'G-SH-4 ConsNacDerPetr,96-21'!$S$8:$S$33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'G-SH-4 ConsNacDerPetr,96-21'!$W$8:$W$33</c:f>
              <c:numCache>
                <c:formatCode>#,##0</c:formatCode>
                <c:ptCount val="26"/>
                <c:pt idx="0">
                  <c:v>78130</c:v>
                </c:pt>
                <c:pt idx="1">
                  <c:v>72998</c:v>
                </c:pt>
                <c:pt idx="2">
                  <c:v>91760</c:v>
                </c:pt>
                <c:pt idx="3">
                  <c:v>81770</c:v>
                </c:pt>
                <c:pt idx="4">
                  <c:v>33192</c:v>
                </c:pt>
                <c:pt idx="5">
                  <c:v>73551</c:v>
                </c:pt>
                <c:pt idx="6">
                  <c:v>72213</c:v>
                </c:pt>
                <c:pt idx="7">
                  <c:v>114644</c:v>
                </c:pt>
                <c:pt idx="8">
                  <c:v>103328</c:v>
                </c:pt>
                <c:pt idx="9">
                  <c:v>118826</c:v>
                </c:pt>
                <c:pt idx="10">
                  <c:v>127690</c:v>
                </c:pt>
                <c:pt idx="11">
                  <c:v>122567</c:v>
                </c:pt>
                <c:pt idx="12">
                  <c:v>102948</c:v>
                </c:pt>
                <c:pt idx="13">
                  <c:v>85231</c:v>
                </c:pt>
                <c:pt idx="14">
                  <c:v>104691</c:v>
                </c:pt>
                <c:pt idx="15">
                  <c:v>114946</c:v>
                </c:pt>
                <c:pt idx="16">
                  <c:v>120826</c:v>
                </c:pt>
                <c:pt idx="17">
                  <c:v>101530</c:v>
                </c:pt>
                <c:pt idx="18">
                  <c:v>55073</c:v>
                </c:pt>
                <c:pt idx="19">
                  <c:v>119012</c:v>
                </c:pt>
                <c:pt idx="20">
                  <c:v>133652</c:v>
                </c:pt>
                <c:pt idx="21">
                  <c:v>114030</c:v>
                </c:pt>
                <c:pt idx="22">
                  <c:v>59618</c:v>
                </c:pt>
                <c:pt idx="23">
                  <c:v>66377</c:v>
                </c:pt>
                <c:pt idx="24">
                  <c:v>20480</c:v>
                </c:pt>
                <c:pt idx="25">
                  <c:v>25668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51-4849-8934-43FC6028B16C}"/>
            </c:ext>
          </c:extLst>
        </c:ser>
        <c:ser>
          <c:idx val="4"/>
          <c:order val="4"/>
          <c:tx>
            <c:strRef>
              <c:f>'G-SH-4 ConsNacDerPetr,96-21'!$X$7</c:f>
              <c:strCache>
                <c:ptCount val="1"/>
                <c:pt idx="0">
                  <c:v>Gas Lic.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'G-SH-4 ConsNacDerPetr,96-21'!$S$8:$S$33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'G-SH-4 ConsNacDerPetr,96-21'!$X$8:$X$33</c:f>
              <c:numCache>
                <c:formatCode>#,##0</c:formatCode>
                <c:ptCount val="26"/>
                <c:pt idx="0">
                  <c:v>41064</c:v>
                </c:pt>
                <c:pt idx="1">
                  <c:v>42101</c:v>
                </c:pt>
                <c:pt idx="2">
                  <c:v>44869</c:v>
                </c:pt>
                <c:pt idx="3">
                  <c:v>48214</c:v>
                </c:pt>
                <c:pt idx="4">
                  <c:v>48380</c:v>
                </c:pt>
                <c:pt idx="5">
                  <c:v>48934</c:v>
                </c:pt>
                <c:pt idx="6">
                  <c:v>49209</c:v>
                </c:pt>
                <c:pt idx="7">
                  <c:v>47686</c:v>
                </c:pt>
                <c:pt idx="8">
                  <c:v>52694</c:v>
                </c:pt>
                <c:pt idx="9">
                  <c:v>56253</c:v>
                </c:pt>
                <c:pt idx="10">
                  <c:v>62544</c:v>
                </c:pt>
                <c:pt idx="11">
                  <c:v>65523</c:v>
                </c:pt>
                <c:pt idx="12">
                  <c:v>67094</c:v>
                </c:pt>
                <c:pt idx="13">
                  <c:v>67556</c:v>
                </c:pt>
                <c:pt idx="14">
                  <c:v>70348</c:v>
                </c:pt>
                <c:pt idx="15">
                  <c:v>73245</c:v>
                </c:pt>
                <c:pt idx="16">
                  <c:v>76420</c:v>
                </c:pt>
                <c:pt idx="17">
                  <c:v>79355</c:v>
                </c:pt>
                <c:pt idx="18">
                  <c:v>84614</c:v>
                </c:pt>
                <c:pt idx="19">
                  <c:v>86082</c:v>
                </c:pt>
                <c:pt idx="20">
                  <c:v>90974</c:v>
                </c:pt>
                <c:pt idx="21">
                  <c:v>93762</c:v>
                </c:pt>
                <c:pt idx="22">
                  <c:v>97473</c:v>
                </c:pt>
                <c:pt idx="23">
                  <c:v>97527</c:v>
                </c:pt>
                <c:pt idx="24">
                  <c:v>93747</c:v>
                </c:pt>
                <c:pt idx="25">
                  <c:v>98662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51-4849-8934-43FC6028B16C}"/>
            </c:ext>
          </c:extLst>
        </c:ser>
        <c:ser>
          <c:idx val="5"/>
          <c:order val="5"/>
          <c:tx>
            <c:strRef>
              <c:f>'G-SH-4 ConsNacDerPetr,96-21'!$Y$7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'G-SH-4 ConsNacDerPetr,96-21'!$S$8:$S$33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'G-SH-4 ConsNacDerPetr,96-21'!$Y$8:$Y$33</c:f>
              <c:numCache>
                <c:formatCode>#,##0</c:formatCode>
                <c:ptCount val="26"/>
                <c:pt idx="0">
                  <c:v>20401</c:v>
                </c:pt>
                <c:pt idx="1">
                  <c:v>37392</c:v>
                </c:pt>
                <c:pt idx="2">
                  <c:v>42713</c:v>
                </c:pt>
                <c:pt idx="3">
                  <c:v>32486</c:v>
                </c:pt>
                <c:pt idx="4">
                  <c:v>33360</c:v>
                </c:pt>
                <c:pt idx="5">
                  <c:v>56371</c:v>
                </c:pt>
                <c:pt idx="6">
                  <c:v>59374</c:v>
                </c:pt>
                <c:pt idx="7">
                  <c:v>111915</c:v>
                </c:pt>
                <c:pt idx="8">
                  <c:v>84012</c:v>
                </c:pt>
                <c:pt idx="9">
                  <c:v>77739</c:v>
                </c:pt>
                <c:pt idx="10">
                  <c:v>96663</c:v>
                </c:pt>
                <c:pt idx="11">
                  <c:v>115085</c:v>
                </c:pt>
                <c:pt idx="12">
                  <c:v>115373</c:v>
                </c:pt>
                <c:pt idx="13">
                  <c:v>126074</c:v>
                </c:pt>
                <c:pt idx="14">
                  <c:v>134032</c:v>
                </c:pt>
                <c:pt idx="15">
                  <c:v>158793</c:v>
                </c:pt>
                <c:pt idx="16">
                  <c:v>182736</c:v>
                </c:pt>
                <c:pt idx="17">
                  <c:v>188327</c:v>
                </c:pt>
                <c:pt idx="18">
                  <c:v>214318</c:v>
                </c:pt>
                <c:pt idx="19">
                  <c:v>228938</c:v>
                </c:pt>
                <c:pt idx="20">
                  <c:v>242577</c:v>
                </c:pt>
                <c:pt idx="21">
                  <c:v>246124</c:v>
                </c:pt>
                <c:pt idx="22">
                  <c:v>253352</c:v>
                </c:pt>
                <c:pt idx="23">
                  <c:v>256854</c:v>
                </c:pt>
                <c:pt idx="24">
                  <c:v>93485</c:v>
                </c:pt>
                <c:pt idx="25">
                  <c:v>143751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51-4849-8934-43FC6028B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804928"/>
        <c:axId val="276803752"/>
      </c:barChart>
      <c:lineChart>
        <c:grouping val="standard"/>
        <c:varyColors val="0"/>
        <c:ser>
          <c:idx val="0"/>
          <c:order val="0"/>
          <c:tx>
            <c:strRef>
              <c:f>'G-SH-4 ConsNacDerPetr,96-21'!$T$7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'G-SH-4 ConsNacDerPetr,96-21'!$S$8:$S$33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'G-SH-4 ConsNacDerPetr,96-21'!$T$8:$T$33</c:f>
              <c:numCache>
                <c:formatCode>#,##0</c:formatCode>
                <c:ptCount val="26"/>
                <c:pt idx="0">
                  <c:v>402165</c:v>
                </c:pt>
                <c:pt idx="1">
                  <c:v>455628</c:v>
                </c:pt>
                <c:pt idx="2">
                  <c:v>541447</c:v>
                </c:pt>
                <c:pt idx="3">
                  <c:v>486321</c:v>
                </c:pt>
                <c:pt idx="4">
                  <c:v>426260</c:v>
                </c:pt>
                <c:pt idx="5">
                  <c:v>492047</c:v>
                </c:pt>
                <c:pt idx="6">
                  <c:v>501800</c:v>
                </c:pt>
                <c:pt idx="7">
                  <c:v>621165</c:v>
                </c:pt>
                <c:pt idx="8">
                  <c:v>604507</c:v>
                </c:pt>
                <c:pt idx="9">
                  <c:v>599727</c:v>
                </c:pt>
                <c:pt idx="10">
                  <c:v>636233</c:v>
                </c:pt>
                <c:pt idx="11">
                  <c:v>731409</c:v>
                </c:pt>
                <c:pt idx="12">
                  <c:v>740721</c:v>
                </c:pt>
                <c:pt idx="13">
                  <c:v>762122</c:v>
                </c:pt>
                <c:pt idx="14">
                  <c:v>850700</c:v>
                </c:pt>
                <c:pt idx="15">
                  <c:v>946147</c:v>
                </c:pt>
                <c:pt idx="16">
                  <c:v>967295</c:v>
                </c:pt>
                <c:pt idx="17">
                  <c:v>991450</c:v>
                </c:pt>
                <c:pt idx="18">
                  <c:v>1050501</c:v>
                </c:pt>
                <c:pt idx="19">
                  <c:v>1084236</c:v>
                </c:pt>
                <c:pt idx="20">
                  <c:v>1127933</c:v>
                </c:pt>
                <c:pt idx="21">
                  <c:v>1151917</c:v>
                </c:pt>
                <c:pt idx="22">
                  <c:v>1107147</c:v>
                </c:pt>
                <c:pt idx="23">
                  <c:v>1128716</c:v>
                </c:pt>
                <c:pt idx="24">
                  <c:v>723058</c:v>
                </c:pt>
                <c:pt idx="25">
                  <c:v>921515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851-4849-8934-43FC6028B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04928"/>
        <c:axId val="276803752"/>
      </c:lineChart>
      <c:catAx>
        <c:axId val="27680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8284023387223823"/>
              <c:y val="0.90871369294605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3752"/>
        <c:crossesAt val="100000"/>
        <c:auto val="1"/>
        <c:lblAlgn val="ctr"/>
        <c:lblOffset val="100"/>
        <c:tickMarkSkip val="1"/>
        <c:noMultiLvlLbl val="0"/>
      </c:catAx>
      <c:valAx>
        <c:axId val="276803752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Miles de Galones</a:t>
                </a:r>
              </a:p>
            </c:rich>
          </c:tx>
          <c:layout>
            <c:manualLayout>
              <c:xMode val="edge"/>
              <c:yMode val="edge"/>
              <c:x val="4.4721109170109491E-2"/>
              <c:y val="0.318958352189874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4928"/>
        <c:crosses val="autoZero"/>
        <c:crossBetween val="between"/>
        <c:majorUnit val="100000"/>
        <c:minorUnit val="100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36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5" b="1" i="0" u="none" strike="noStrike" baseline="0">
                <a:solidFill>
                  <a:srgbClr val="800000"/>
                </a:solidFill>
                <a:latin typeface="Tahoma"/>
                <a:ea typeface="Tahoma"/>
                <a:cs typeface="Tahoma"/>
              </a:defRPr>
            </a:pPr>
            <a:r>
              <a:rPr lang="es-ES"/>
              <a:t>CAPACIDAD INSTALADA POR TIPO DE CENTRAL
1970 - 2000</a:t>
            </a:r>
          </a:p>
        </c:rich>
      </c:tx>
      <c:layout>
        <c:manualLayout>
          <c:xMode val="edge"/>
          <c:yMode val="edge"/>
          <c:x val="0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view3D>
      <c:rotX val="45"/>
      <c:hPercent val="363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72-457C-BCC2-734FBDDFDD84}"/>
            </c:ext>
          </c:extLst>
        </c:ser>
        <c:ser>
          <c:idx val="1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72-457C-BCC2-734FBDDFD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6804536"/>
        <c:axId val="276809632"/>
        <c:axId val="0"/>
      </c:bar3DChart>
      <c:catAx>
        <c:axId val="27680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27680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809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s-ES" sz="10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r>
                  <a:rPr lang="es-ES"/>
                  <a:t>MW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4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CCFFFF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-3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5" b="1" i="0" u="none" strike="noStrike" baseline="0">
                <a:solidFill>
                  <a:srgbClr val="800000"/>
                </a:solidFill>
                <a:latin typeface="Tahoma"/>
                <a:ea typeface="Tahoma"/>
                <a:cs typeface="Tahoma"/>
              </a:defRPr>
            </a:pPr>
            <a:r>
              <a:rPr lang="es-ES"/>
              <a:t>GENERACIÓN BRUTA POR TIPO DE CENTRAL
1970 - 2000</a:t>
            </a:r>
          </a:p>
        </c:rich>
      </c:tx>
      <c:layout>
        <c:manualLayout>
          <c:xMode val="edge"/>
          <c:yMode val="edge"/>
          <c:x val="0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view3D>
      <c:rotX val="44"/>
      <c:hPercent val="500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/>
      <c:area3DChart>
        <c:grouping val="stack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17-4C97-ACC0-33CCF55166A8}"/>
            </c:ext>
          </c:extLst>
        </c:ser>
        <c:ser>
          <c:idx val="1"/>
          <c:order val="1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17-4C97-ACC0-33CCF55166A8}"/>
            </c:ext>
          </c:extLst>
        </c:ser>
        <c:ser>
          <c:idx val="2"/>
          <c:order val="2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17-4C97-ACC0-33CCF5516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805320"/>
        <c:axId val="276806104"/>
        <c:axId val="0"/>
      </c:area3DChart>
      <c:catAx>
        <c:axId val="276805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1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276806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806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s-ES" sz="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2768053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CCFFFF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-3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BAYANO: NIVEL DEL LAGO Y AFORO HIDRÁULICO</a:t>
            </a:r>
          </a:p>
        </c:rich>
      </c:tx>
      <c:layout>
        <c:manualLayout>
          <c:xMode val="edge"/>
          <c:yMode val="edge"/>
          <c:x val="0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Nivel 1999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EC-4723-896A-F4CD11B4C340}"/>
            </c:ext>
          </c:extLst>
        </c:ser>
        <c:ser>
          <c:idx val="0"/>
          <c:order val="1"/>
          <c:tx>
            <c:v>Nivel 2000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2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EC-4723-896A-F4CD11B4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10416"/>
        <c:axId val="276807672"/>
      </c:lineChart>
      <c:lineChart>
        <c:grouping val="standard"/>
        <c:varyColors val="0"/>
        <c:ser>
          <c:idx val="2"/>
          <c:order val="2"/>
          <c:tx>
            <c:v>Aforo 1999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EC-4723-896A-F4CD11B4C340}"/>
            </c:ext>
          </c:extLst>
        </c:ser>
        <c:ser>
          <c:idx val="3"/>
          <c:order val="3"/>
          <c:tx>
            <c:v>Aforo 2000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EC-4723-896A-F4CD11B4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04144"/>
        <c:axId val="276806496"/>
      </c:lineChart>
      <c:catAx>
        <c:axId val="27681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Semanas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7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6807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ES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Metrros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10416"/>
        <c:crosses val="autoZero"/>
        <c:crossBetween val="between"/>
      </c:valAx>
      <c:catAx>
        <c:axId val="276804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76806496"/>
        <c:crosses val="autoZero"/>
        <c:auto val="0"/>
        <c:lblAlgn val="ctr"/>
        <c:lblOffset val="100"/>
        <c:noMultiLvlLbl val="0"/>
      </c:catAx>
      <c:valAx>
        <c:axId val="276806496"/>
        <c:scaling>
          <c:orientation val="minMax"/>
          <c:max val="1500"/>
        </c:scaling>
        <c:delete val="0"/>
        <c:axPos val="r"/>
        <c:title>
          <c:tx>
            <c:rich>
              <a:bodyPr/>
              <a:lstStyle/>
              <a:p>
                <a:pPr>
                  <a:defRPr lang="es-ES"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Metros Cubicos por Segundo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4144"/>
        <c:crosses val="max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CCFFFF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-3" verticalDpi="36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FORTUNA: NIVEL DEL LAGO Y AFORO HIDRÁULICO</a:t>
            </a:r>
          </a:p>
        </c:rich>
      </c:tx>
      <c:layout>
        <c:manualLayout>
          <c:xMode val="edge"/>
          <c:yMode val="edge"/>
          <c:x val="0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Nivel 1999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97-4747-828A-5E53CD4FB0F4}"/>
            </c:ext>
          </c:extLst>
        </c:ser>
        <c:ser>
          <c:idx val="5"/>
          <c:order val="1"/>
          <c:tx>
            <c:v>Nivel 2000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97-4747-828A-5E53CD4FB0F4}"/>
            </c:ext>
          </c:extLst>
        </c:ser>
        <c:ser>
          <c:idx val="3"/>
          <c:order val="2"/>
          <c:tx>
            <c:v>Aforo 1999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D97-4747-828A-5E53CD4FB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08456"/>
        <c:axId val="278690576"/>
      </c:lineChart>
      <c:lineChart>
        <c:grouping val="standard"/>
        <c:varyColors val="0"/>
        <c:ser>
          <c:idx val="4"/>
          <c:order val="3"/>
          <c:tx>
            <c:v>Aforo 1999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squar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D97-4747-828A-5E53CD4FB0F4}"/>
            </c:ext>
          </c:extLst>
        </c:ser>
        <c:ser>
          <c:idx val="6"/>
          <c:order val="4"/>
          <c:tx>
            <c:v>Aforo 2000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D97-4747-828A-5E53CD4FB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97240"/>
        <c:axId val="278696064"/>
      </c:lineChart>
      <c:catAx>
        <c:axId val="276808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Semanas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0576"/>
        <c:crossesAt val="1025"/>
        <c:auto val="0"/>
        <c:lblAlgn val="ctr"/>
        <c:lblOffset val="100"/>
        <c:tickLblSkip val="1"/>
        <c:tickMarkSkip val="1"/>
        <c:noMultiLvlLbl val="0"/>
      </c:catAx>
      <c:valAx>
        <c:axId val="278690576"/>
        <c:scaling>
          <c:orientation val="minMax"/>
          <c:max val="1055"/>
          <c:min val="1025"/>
        </c:scaling>
        <c:delete val="0"/>
        <c:axPos val="l"/>
        <c:title>
          <c:tx>
            <c:rich>
              <a:bodyPr/>
              <a:lstStyle/>
              <a:p>
                <a:pPr>
                  <a:defRPr lang="es-ES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Metros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808456"/>
        <c:crosses val="autoZero"/>
        <c:crossBetween val="between"/>
        <c:majorUnit val="5"/>
        <c:minorUnit val="3"/>
      </c:valAx>
      <c:catAx>
        <c:axId val="278697240"/>
        <c:scaling>
          <c:orientation val="minMax"/>
        </c:scaling>
        <c:delete val="1"/>
        <c:axPos val="b"/>
        <c:majorTickMark val="out"/>
        <c:minorTickMark val="none"/>
        <c:tickLblPos val="nextTo"/>
        <c:crossAx val="278696064"/>
        <c:crosses val="autoZero"/>
        <c:auto val="0"/>
        <c:lblAlgn val="ctr"/>
        <c:lblOffset val="100"/>
        <c:noMultiLvlLbl val="0"/>
      </c:catAx>
      <c:valAx>
        <c:axId val="278696064"/>
        <c:scaling>
          <c:orientation val="minMax"/>
          <c:max val="120"/>
        </c:scaling>
        <c:delete val="0"/>
        <c:axPos val="r"/>
        <c:title>
          <c:tx>
            <c:rich>
              <a:bodyPr/>
              <a:lstStyle/>
              <a:p>
                <a:pPr>
                  <a:defRPr lang="es-ES"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Metros Cubicos por Segundo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lang="es-ES"/>
            </a:pPr>
            <a:endParaRPr lang="es-ES"/>
          </a:p>
        </c:txPr>
        <c:crossAx val="278697240"/>
        <c:crosses val="max"/>
        <c:crossBetween val="between"/>
        <c:majorUnit val="1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CCFFFF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-3" verticalDpi="36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Precios Monómicos de los Contratos
y del Mercado Ocasional</a:t>
            </a:r>
          </a:p>
        </c:rich>
      </c:tx>
      <c:layout>
        <c:manualLayout>
          <c:xMode val="edge"/>
          <c:yMode val="edge"/>
          <c:x val="0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SPOT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A8-4A14-8E03-AD895F530F84}"/>
            </c:ext>
          </c:extLst>
        </c:ser>
        <c:ser>
          <c:idx val="1"/>
          <c:order val="1"/>
          <c:tx>
            <c:v>EDECHI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A8-4A14-8E03-AD895F530F84}"/>
            </c:ext>
          </c:extLst>
        </c:ser>
        <c:ser>
          <c:idx val="2"/>
          <c:order val="2"/>
          <c:tx>
            <c:v>EDEMET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0A8-4A14-8E03-AD895F530F84}"/>
            </c:ext>
          </c:extLst>
        </c:ser>
        <c:ser>
          <c:idx val="3"/>
          <c:order val="3"/>
          <c:tx>
            <c:v>ELEKTRA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0A8-4A14-8E03-AD895F530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93712"/>
        <c:axId val="278692928"/>
      </c:lineChart>
      <c:catAx>
        <c:axId val="27869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692928"/>
        <c:scaling>
          <c:orientation val="minMax"/>
          <c:max val="16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693712"/>
        <c:crosses val="autoZero"/>
        <c:crossBetween val="midCat"/>
        <c:majorUnit val="2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CCFFFF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316" header="0" footer="0"/>
    <c:pageSetup orientation="landscape" horizontalDpi="-3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18" Type="http://schemas.openxmlformats.org/officeDocument/2006/relationships/chart" Target="../charts/chart3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17" Type="http://schemas.openxmlformats.org/officeDocument/2006/relationships/chart" Target="../charts/chart32.xml"/><Relationship Id="rId2" Type="http://schemas.openxmlformats.org/officeDocument/2006/relationships/chart" Target="../charts/chart17.xml"/><Relationship Id="rId16" Type="http://schemas.openxmlformats.org/officeDocument/2006/relationships/chart" Target="../charts/chart31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2049" name="Chart 2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6145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4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19049</xdr:rowOff>
    </xdr:from>
    <xdr:to>
      <xdr:col>17</xdr:col>
      <xdr:colOff>28575</xdr:colOff>
      <xdr:row>36</xdr:row>
      <xdr:rowOff>19050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18</xdr:row>
      <xdr:rowOff>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35</xdr:row>
      <xdr:rowOff>180975</xdr:rowOff>
    </xdr:to>
    <xdr:graphicFrame macro="">
      <xdr:nvGraphicFramePr>
        <xdr:cNvPr id="102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18</xdr:row>
      <xdr:rowOff>0</xdr:rowOff>
    </xdr:to>
    <xdr:graphicFrame macro="">
      <xdr:nvGraphicFramePr>
        <xdr:cNvPr id="102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36</xdr:row>
      <xdr:rowOff>0</xdr:rowOff>
    </xdr:to>
    <xdr:graphicFrame macro="">
      <xdr:nvGraphicFramePr>
        <xdr:cNvPr id="102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102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34</xdr:row>
      <xdr:rowOff>0</xdr:rowOff>
    </xdr:to>
    <xdr:graphicFrame macro="">
      <xdr:nvGraphicFramePr>
        <xdr:cNvPr id="102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0</xdr:col>
      <xdr:colOff>0</xdr:colOff>
      <xdr:row>62</xdr:row>
      <xdr:rowOff>9525</xdr:rowOff>
    </xdr:to>
    <xdr:graphicFrame macro="">
      <xdr:nvGraphicFramePr>
        <xdr:cNvPr id="1024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5</xdr:row>
      <xdr:rowOff>9525</xdr:rowOff>
    </xdr:from>
    <xdr:to>
      <xdr:col>11</xdr:col>
      <xdr:colOff>1057275</xdr:colOff>
      <xdr:row>29</xdr:row>
      <xdr:rowOff>19050</xdr:rowOff>
    </xdr:to>
    <xdr:graphicFrame macro="">
      <xdr:nvGraphicFramePr>
        <xdr:cNvPr id="1024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666750</xdr:colOff>
      <xdr:row>0</xdr:row>
      <xdr:rowOff>0</xdr:rowOff>
    </xdr:from>
    <xdr:to>
      <xdr:col>37</xdr:col>
      <xdr:colOff>361950</xdr:colOff>
      <xdr:row>0</xdr:row>
      <xdr:rowOff>0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9</xdr:col>
      <xdr:colOff>657225</xdr:colOff>
      <xdr:row>23</xdr:row>
      <xdr:rowOff>0</xdr:rowOff>
    </xdr:to>
    <xdr:graphicFrame macro="">
      <xdr:nvGraphicFramePr>
        <xdr:cNvPr id="194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28575</xdr:rowOff>
    </xdr:from>
    <xdr:to>
      <xdr:col>10</xdr:col>
      <xdr:colOff>9525</xdr:colOff>
      <xdr:row>44</xdr:row>
      <xdr:rowOff>38100</xdr:rowOff>
    </xdr:to>
    <xdr:graphicFrame macro="">
      <xdr:nvGraphicFramePr>
        <xdr:cNvPr id="1945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327</xdr:row>
      <xdr:rowOff>38100</xdr:rowOff>
    </xdr:from>
    <xdr:to>
      <xdr:col>10</xdr:col>
      <xdr:colOff>0</xdr:colOff>
      <xdr:row>353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356</xdr:row>
      <xdr:rowOff>0</xdr:rowOff>
    </xdr:from>
    <xdr:to>
      <xdr:col>10</xdr:col>
      <xdr:colOff>38100</xdr:colOff>
      <xdr:row>384</xdr:row>
      <xdr:rowOff>28575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327</xdr:row>
      <xdr:rowOff>47625</xdr:rowOff>
    </xdr:from>
    <xdr:to>
      <xdr:col>20</xdr:col>
      <xdr:colOff>28575</xdr:colOff>
      <xdr:row>354</xdr:row>
      <xdr:rowOff>19050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752475</xdr:colOff>
      <xdr:row>201</xdr:row>
      <xdr:rowOff>38100</xdr:rowOff>
    </xdr:from>
    <xdr:to>
      <xdr:col>10</xdr:col>
      <xdr:colOff>0</xdr:colOff>
      <xdr:row>227</xdr:row>
      <xdr:rowOff>152400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230</xdr:row>
      <xdr:rowOff>0</xdr:rowOff>
    </xdr:from>
    <xdr:to>
      <xdr:col>10</xdr:col>
      <xdr:colOff>38100</xdr:colOff>
      <xdr:row>258</xdr:row>
      <xdr:rowOff>28575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201</xdr:row>
      <xdr:rowOff>47625</xdr:rowOff>
    </xdr:from>
    <xdr:to>
      <xdr:col>20</xdr:col>
      <xdr:colOff>28575</xdr:colOff>
      <xdr:row>228</xdr:row>
      <xdr:rowOff>19050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752475</xdr:colOff>
      <xdr:row>263</xdr:row>
      <xdr:rowOff>38100</xdr:rowOff>
    </xdr:from>
    <xdr:to>
      <xdr:col>10</xdr:col>
      <xdr:colOff>0</xdr:colOff>
      <xdr:row>289</xdr:row>
      <xdr:rowOff>152400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292</xdr:row>
      <xdr:rowOff>0</xdr:rowOff>
    </xdr:from>
    <xdr:to>
      <xdr:col>10</xdr:col>
      <xdr:colOff>38100</xdr:colOff>
      <xdr:row>320</xdr:row>
      <xdr:rowOff>28575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263</xdr:row>
      <xdr:rowOff>47625</xdr:rowOff>
    </xdr:from>
    <xdr:to>
      <xdr:col>20</xdr:col>
      <xdr:colOff>28575</xdr:colOff>
      <xdr:row>290</xdr:row>
      <xdr:rowOff>19050</xdr:rowOff>
    </xdr:to>
    <xdr:graphicFrame macro="">
      <xdr:nvGraphicFramePr>
        <xdr:cNvPr id="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752475</xdr:colOff>
      <xdr:row>136</xdr:row>
      <xdr:rowOff>38100</xdr:rowOff>
    </xdr:from>
    <xdr:to>
      <xdr:col>10</xdr:col>
      <xdr:colOff>0</xdr:colOff>
      <xdr:row>162</xdr:row>
      <xdr:rowOff>152400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165</xdr:row>
      <xdr:rowOff>0</xdr:rowOff>
    </xdr:from>
    <xdr:to>
      <xdr:col>10</xdr:col>
      <xdr:colOff>38100</xdr:colOff>
      <xdr:row>193</xdr:row>
      <xdr:rowOff>28575</xdr:rowOff>
    </xdr:to>
    <xdr:graphicFrame macro="">
      <xdr:nvGraphicFramePr>
        <xdr:cNvPr id="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136</xdr:row>
      <xdr:rowOff>47625</xdr:rowOff>
    </xdr:from>
    <xdr:to>
      <xdr:col>20</xdr:col>
      <xdr:colOff>28575</xdr:colOff>
      <xdr:row>163</xdr:row>
      <xdr:rowOff>19050</xdr:rowOff>
    </xdr:to>
    <xdr:graphicFrame macro="">
      <xdr:nvGraphicFramePr>
        <xdr:cNvPr id="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754380</xdr:colOff>
      <xdr:row>71</xdr:row>
      <xdr:rowOff>106680</xdr:rowOff>
    </xdr:from>
    <xdr:to>
      <xdr:col>10</xdr:col>
      <xdr:colOff>0</xdr:colOff>
      <xdr:row>98</xdr:row>
      <xdr:rowOff>53340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10</xdr:col>
      <xdr:colOff>38100</xdr:colOff>
      <xdr:row>128</xdr:row>
      <xdr:rowOff>28575</xdr:rowOff>
    </xdr:to>
    <xdr:graphicFrame macro="">
      <xdr:nvGraphicFramePr>
        <xdr:cNvPr id="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71</xdr:row>
      <xdr:rowOff>47625</xdr:rowOff>
    </xdr:from>
    <xdr:to>
      <xdr:col>20</xdr:col>
      <xdr:colOff>28575</xdr:colOff>
      <xdr:row>98</xdr:row>
      <xdr:rowOff>19050</xdr:rowOff>
    </xdr:to>
    <xdr:graphicFrame macro="">
      <xdr:nvGraphicFramePr>
        <xdr:cNvPr id="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754380</xdr:colOff>
      <xdr:row>5</xdr:row>
      <xdr:rowOff>106680</xdr:rowOff>
    </xdr:from>
    <xdr:to>
      <xdr:col>10</xdr:col>
      <xdr:colOff>0</xdr:colOff>
      <xdr:row>32</xdr:row>
      <xdr:rowOff>53340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10</xdr:col>
      <xdr:colOff>38100</xdr:colOff>
      <xdr:row>62</xdr:row>
      <xdr:rowOff>28575</xdr:rowOff>
    </xdr:to>
    <xdr:graphicFrame macro="">
      <xdr:nvGraphicFramePr>
        <xdr:cNvPr id="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0</xdr:colOff>
      <xdr:row>5</xdr:row>
      <xdr:rowOff>47625</xdr:rowOff>
    </xdr:from>
    <xdr:to>
      <xdr:col>20</xdr:col>
      <xdr:colOff>28575</xdr:colOff>
      <xdr:row>32</xdr:row>
      <xdr:rowOff>19050</xdr:rowOff>
    </xdr:to>
    <xdr:graphicFrame macro="">
      <xdr:nvGraphicFramePr>
        <xdr:cNvPr id="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lvez/Desktop/Compendio%202016/6%20CEE%201970-2016%20SH(Mas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SH-1 ImpPetr,96-02"/>
      <sheetName val="G-SH-3 EstCosBarrPetrImp,96-02"/>
      <sheetName val="G-SH-2 ValCIFBarrPetrImp,96-02"/>
      <sheetName val="G-SH-4 ConsNacDerPetr,96-16"/>
      <sheetName val="G-SH-5 PreParProMen,00-16"/>
      <sheetName val="G-SH-6 CoUtTRvsSEl,16"/>
      <sheetName val="G-SH7 PreProCombCentAmer,15-16"/>
      <sheetName val="C-SH-1 ZonLibPetr,16"/>
      <sheetName val="C-SH-2A ImpPet,V&amp;CXBarr,96-98"/>
      <sheetName val="C-SH-2B ImpPet,V&amp;CXBarr,99-01"/>
      <sheetName val="C-SH-2C ImpPet,V&amp;CXBarr,02"/>
      <sheetName val="C-SH-3 ZLibPet,Refp&amp;Petr,95-16"/>
      <sheetName val="C-SH-4A ConsNacDerPet,99-16"/>
      <sheetName val="C-SH-4B ConsNacDerPet,99-16"/>
      <sheetName val="C-SH-5A ConsCombSectGob,99-16"/>
      <sheetName val="C-SH-5B ConsCombSectGob,99-16"/>
      <sheetName val="C-SH-6A ConsCombFloPesq,04-16"/>
      <sheetName val="C-SH-6B ConsCombFloPesq,04-16"/>
      <sheetName val="C-SH-7A VenCombustbEstSer,99-16"/>
      <sheetName val="C-SH-7B VenComb&amp;LubEstSer,99-16"/>
      <sheetName val="C-SH-8A ComPrParGas&amp;DLiv,99-16"/>
      <sheetName val="C-SH-8B ComPrParGas&amp;DLiv,99-16"/>
      <sheetName val="C-SH-9 ComPrGas&amp;DieEstSer,01-16"/>
      <sheetName val="C-SH-10 SubGasLiq&amp;PrPar,99-16"/>
      <sheetName val="C-SH-11 PrPmMenGas&amp;DieCA,09-16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X14">
            <v>3.9026643141788768</v>
          </cell>
          <cell r="Y14">
            <v>2.5582500000000001</v>
          </cell>
          <cell r="Z14">
            <v>2.5569832528165763</v>
          </cell>
          <cell r="AA14">
            <v>3.3391005273012357</v>
          </cell>
          <cell r="AB14">
            <v>3.2002103137755764</v>
          </cell>
          <cell r="AC14">
            <v>2.42</v>
          </cell>
        </row>
        <row r="15">
          <cell r="X15">
            <v>3.7412955380302408</v>
          </cell>
          <cell r="Y15">
            <v>2.4177999999999997</v>
          </cell>
          <cell r="Z15">
            <v>2.4216958977588012</v>
          </cell>
          <cell r="AA15">
            <v>3.1893767335994854</v>
          </cell>
          <cell r="AB15">
            <v>3.0548298761097241</v>
          </cell>
          <cell r="AC15">
            <v>2.31</v>
          </cell>
        </row>
        <row r="16">
          <cell r="X16">
            <v>3.110941119004798</v>
          </cell>
          <cell r="Y16">
            <v>2.4702500000000001</v>
          </cell>
          <cell r="Z16">
            <v>2.6205902721653382</v>
          </cell>
          <cell r="AA16">
            <v>3.2463325911575955</v>
          </cell>
          <cell r="AB16">
            <v>3.2149999999999999</v>
          </cell>
          <cell r="AC16">
            <v>2.35</v>
          </cell>
        </row>
        <row r="17">
          <cell r="X17">
            <v>3.2320807375233613</v>
          </cell>
          <cell r="Y17">
            <v>2.7190000000000003</v>
          </cell>
          <cell r="Z17">
            <v>2.7777039415962341</v>
          </cell>
          <cell r="AA17">
            <v>3.4352331705300667</v>
          </cell>
          <cell r="AB17">
            <v>3.42</v>
          </cell>
          <cell r="AC17">
            <v>2.57</v>
          </cell>
        </row>
        <row r="18">
          <cell r="X18">
            <v>3.4963004341808825</v>
          </cell>
          <cell r="Y18">
            <v>2.8723999999999998</v>
          </cell>
          <cell r="Z18">
            <v>2.9139493025262468</v>
          </cell>
          <cell r="AA18">
            <v>3.478980557335428</v>
          </cell>
          <cell r="AB18">
            <v>3.5660000000000003</v>
          </cell>
          <cell r="AC18">
            <v>2.73</v>
          </cell>
        </row>
        <row r="19">
          <cell r="X19">
            <v>3.7027350026437627</v>
          </cell>
          <cell r="Y19">
            <v>2.9732500000000002</v>
          </cell>
          <cell r="Z19">
            <v>2.9891531381335481</v>
          </cell>
          <cell r="AA19">
            <v>3.5375527617573144</v>
          </cell>
          <cell r="AB19">
            <v>3.5674999999999999</v>
          </cell>
          <cell r="AC19">
            <v>2.76</v>
          </cell>
        </row>
        <row r="20">
          <cell r="X20">
            <v>4.1143554635149755</v>
          </cell>
          <cell r="Y20">
            <v>2.9124999999999996</v>
          </cell>
          <cell r="Z20">
            <v>2.8526610108800527</v>
          </cell>
          <cell r="AA20">
            <v>3.481642526529757</v>
          </cell>
          <cell r="AB20">
            <v>3.4475000000000002</v>
          </cell>
          <cell r="AC20">
            <v>2.65</v>
          </cell>
        </row>
        <row r="21">
          <cell r="X21">
            <v>3.974419879410604</v>
          </cell>
          <cell r="Y21">
            <v>2.7904</v>
          </cell>
          <cell r="Z21">
            <v>2.8580928968282091</v>
          </cell>
          <cell r="AA21">
            <v>3.3863061302502615</v>
          </cell>
          <cell r="AB21">
            <v>3.3920000000000003</v>
          </cell>
          <cell r="AC21">
            <v>2.54</v>
          </cell>
        </row>
        <row r="22">
          <cell r="X22">
            <v>3.8621366998301667</v>
          </cell>
          <cell r="Y22">
            <v>2.8567500000000003</v>
          </cell>
          <cell r="Z22">
            <v>2.9449830992793675</v>
          </cell>
          <cell r="AA22">
            <v>3.4518425402033559</v>
          </cell>
          <cell r="AB22">
            <v>3.4525000000000001</v>
          </cell>
          <cell r="AC22">
            <v>2.65</v>
          </cell>
        </row>
        <row r="23">
          <cell r="X23">
            <v>3.9226929972236162</v>
          </cell>
          <cell r="Y23">
            <v>2.9260000000000002</v>
          </cell>
          <cell r="Z23">
            <v>3.0058462294881143</v>
          </cell>
          <cell r="AA23">
            <v>3.4981946031137667</v>
          </cell>
          <cell r="AB23">
            <v>3.5380000000000003</v>
          </cell>
          <cell r="AC23">
            <v>2.73</v>
          </cell>
        </row>
        <row r="24">
          <cell r="X24">
            <v>3.8842098346300862</v>
          </cell>
          <cell r="Y24">
            <v>2.8800000000000003</v>
          </cell>
          <cell r="Z24">
            <v>2.9098066466097805</v>
          </cell>
          <cell r="AA24">
            <v>3.4937672001955122</v>
          </cell>
          <cell r="AB24">
            <v>3.3925000000000001</v>
          </cell>
          <cell r="AC24">
            <v>2.61</v>
          </cell>
        </row>
        <row r="25">
          <cell r="X25">
            <v>3.8095402871824362</v>
          </cell>
          <cell r="Y25">
            <v>2.8775000000000004</v>
          </cell>
          <cell r="Z25">
            <v>3.0214666386342142</v>
          </cell>
          <cell r="AA25">
            <v>3.5179909970035603</v>
          </cell>
          <cell r="AB25">
            <v>3.54</v>
          </cell>
          <cell r="AC25">
            <v>2.8</v>
          </cell>
        </row>
        <row r="31">
          <cell r="X31">
            <v>3.7420895749550587</v>
          </cell>
          <cell r="Y31">
            <v>2.3832499999999999</v>
          </cell>
          <cell r="Z31">
            <v>2.3640142963976976</v>
          </cell>
          <cell r="AA31">
            <v>3.0760742603320184</v>
          </cell>
          <cell r="AB31">
            <v>3.034120316800371</v>
          </cell>
          <cell r="AC31">
            <v>2.23</v>
          </cell>
        </row>
        <row r="32">
          <cell r="X32">
            <v>3.5826897339632131</v>
          </cell>
          <cell r="Y32">
            <v>2.2114000000000003</v>
          </cell>
          <cell r="Z32">
            <v>2.2283649196131092</v>
          </cell>
          <cell r="AA32">
            <v>2.9219213909692496</v>
          </cell>
          <cell r="AB32">
            <v>2.8877852022520321</v>
          </cell>
          <cell r="AC32">
            <v>2.16</v>
          </cell>
        </row>
        <row r="33">
          <cell r="X33">
            <v>2.9641326617034478</v>
          </cell>
          <cell r="Y33">
            <v>2.29</v>
          </cell>
          <cell r="Z33">
            <v>2.4314802960715474</v>
          </cell>
          <cell r="AA33">
            <v>2.9907613982190924</v>
          </cell>
          <cell r="AB33">
            <v>3.08</v>
          </cell>
          <cell r="AC33">
            <v>2.2000000000000002</v>
          </cell>
        </row>
        <row r="34">
          <cell r="X34">
            <v>3.1113505375287489</v>
          </cell>
          <cell r="Y34">
            <v>2.5309999999999997</v>
          </cell>
          <cell r="Z34">
            <v>2.5865265220641409</v>
          </cell>
          <cell r="AA34">
            <v>3.180351362768767</v>
          </cell>
          <cell r="AB34">
            <v>3.2774999999999999</v>
          </cell>
          <cell r="AC34">
            <v>2.46</v>
          </cell>
        </row>
        <row r="35">
          <cell r="X35">
            <v>3.3658559741607954</v>
          </cell>
          <cell r="Y35">
            <v>2.6724000000000006</v>
          </cell>
          <cell r="Z35">
            <v>2.7194409534042081</v>
          </cell>
          <cell r="AA35">
            <v>3.2189249263961153</v>
          </cell>
          <cell r="AB35">
            <v>3.4079999999999999</v>
          </cell>
          <cell r="AC35">
            <v>2.57</v>
          </cell>
        </row>
        <row r="36">
          <cell r="X36">
            <v>3.5515619902112765</v>
          </cell>
          <cell r="Y36">
            <v>2.7897499999999997</v>
          </cell>
          <cell r="Z36">
            <v>2.7962634470674872</v>
          </cell>
          <cell r="AA36">
            <v>3.2923648802484786</v>
          </cell>
          <cell r="AB36">
            <v>3.4475000000000002</v>
          </cell>
          <cell r="AC36">
            <v>2.65</v>
          </cell>
        </row>
        <row r="37">
          <cell r="X37">
            <v>3.9248955210324379</v>
          </cell>
          <cell r="Y37">
            <v>2.7349999999999994</v>
          </cell>
          <cell r="Z37">
            <v>2.6565819786045632</v>
          </cell>
          <cell r="AA37">
            <v>3.2433099350377383</v>
          </cell>
          <cell r="AB37">
            <v>3.3249999999999997</v>
          </cell>
          <cell r="AC37">
            <v>2.54</v>
          </cell>
        </row>
        <row r="38">
          <cell r="X38">
            <v>3.7987143163512314</v>
          </cell>
          <cell r="Y38">
            <v>2.6274000000000002</v>
          </cell>
          <cell r="Z38">
            <v>2.6606763887201645</v>
          </cell>
          <cell r="AA38">
            <v>3.1579936385104985</v>
          </cell>
          <cell r="AB38">
            <v>3.3039999999999998</v>
          </cell>
          <cell r="AC38">
            <v>2.46</v>
          </cell>
        </row>
        <row r="39">
          <cell r="X39">
            <v>3.6899760995117714</v>
          </cell>
          <cell r="Y39">
            <v>2.7090000000000001</v>
          </cell>
          <cell r="Z39">
            <v>2.7436211167491549</v>
          </cell>
          <cell r="AA39">
            <v>3.224232744743051</v>
          </cell>
          <cell r="AB39">
            <v>3.3474999999999997</v>
          </cell>
          <cell r="AC39">
            <v>2.57</v>
          </cell>
        </row>
        <row r="40">
          <cell r="X40">
            <v>3.7509372391559568</v>
          </cell>
          <cell r="Y40">
            <v>2.7199999999999998</v>
          </cell>
          <cell r="Z40">
            <v>2.8074319368053362</v>
          </cell>
          <cell r="AA40">
            <v>3.2439827553219152</v>
          </cell>
          <cell r="AB40">
            <v>3.3840000000000003</v>
          </cell>
          <cell r="AC40">
            <v>2.57</v>
          </cell>
        </row>
        <row r="41">
          <cell r="X41">
            <v>3.6864901369763716</v>
          </cell>
          <cell r="Y41">
            <v>2.67</v>
          </cell>
          <cell r="Z41">
            <v>2.7110005600569087</v>
          </cell>
          <cell r="AA41">
            <v>3.2378223533458419</v>
          </cell>
          <cell r="AB41">
            <v>3.2350000000000003</v>
          </cell>
          <cell r="AC41">
            <v>2.46</v>
          </cell>
        </row>
        <row r="42">
          <cell r="X42">
            <v>3.5703365140328986</v>
          </cell>
          <cell r="Y42">
            <v>2.6500000000000004</v>
          </cell>
          <cell r="Z42">
            <v>2.8228624565932465</v>
          </cell>
          <cell r="AA42">
            <v>3.1511733538319464</v>
          </cell>
          <cell r="AB42">
            <v>3.38</v>
          </cell>
          <cell r="AC42">
            <v>2.65</v>
          </cell>
        </row>
        <row r="48">
          <cell r="X48">
            <v>3.1346981700649659</v>
          </cell>
          <cell r="Y48">
            <v>1.9770000000000001</v>
          </cell>
          <cell r="Z48">
            <v>1.7841214124022271</v>
          </cell>
          <cell r="AA48">
            <v>2.4999617238612037</v>
          </cell>
          <cell r="AB48">
            <v>2.4645577184076859</v>
          </cell>
          <cell r="AC48">
            <v>1.78</v>
          </cell>
        </row>
        <row r="49">
          <cell r="X49">
            <v>2.9827529925932046</v>
          </cell>
          <cell r="Y49">
            <v>1.8698000000000001</v>
          </cell>
          <cell r="Z49">
            <v>1.6982341725746628</v>
          </cell>
          <cell r="AA49">
            <v>2.4306043017997778</v>
          </cell>
          <cell r="AB49">
            <v>2.398312243379046</v>
          </cell>
          <cell r="AC49">
            <v>1.82</v>
          </cell>
        </row>
        <row r="50">
          <cell r="X50">
            <v>2.4118532270936073</v>
          </cell>
          <cell r="Y50">
            <v>1.9249999999999998</v>
          </cell>
          <cell r="Z50">
            <v>1.9163081749914115</v>
          </cell>
          <cell r="AA50">
            <v>2.5207538153796696</v>
          </cell>
          <cell r="AB50">
            <v>2.5024999999999999</v>
          </cell>
          <cell r="AC50">
            <v>1.89</v>
          </cell>
        </row>
        <row r="51">
          <cell r="X51">
            <v>2.4974566697046532</v>
          </cell>
          <cell r="Y51">
            <v>1.992</v>
          </cell>
          <cell r="Z51">
            <v>1.9564045168875341</v>
          </cell>
          <cell r="AA51">
            <v>2.5623828240922117</v>
          </cell>
          <cell r="AB51">
            <v>2.5250000000000004</v>
          </cell>
          <cell r="AC51">
            <v>1.89</v>
          </cell>
        </row>
        <row r="52">
          <cell r="X52">
            <v>2.4271515534793955</v>
          </cell>
          <cell r="Y52">
            <v>2.1745999999999999</v>
          </cell>
          <cell r="Z52">
            <v>2.1224007089818619</v>
          </cell>
          <cell r="AA52">
            <v>2.6320078388823158</v>
          </cell>
          <cell r="AB52">
            <v>2.738</v>
          </cell>
          <cell r="AC52">
            <v>2.08</v>
          </cell>
        </row>
        <row r="53">
          <cell r="X53">
            <v>2.7319359523562365</v>
          </cell>
          <cell r="Y53">
            <v>2.3587500000000001</v>
          </cell>
          <cell r="Z53">
            <v>2.2499591899379503</v>
          </cell>
          <cell r="AA53">
            <v>2.759744801541439</v>
          </cell>
          <cell r="AB53">
            <v>2.8574999999999999</v>
          </cell>
          <cell r="AC53">
            <v>2.23</v>
          </cell>
        </row>
        <row r="54">
          <cell r="X54">
            <v>3.0816694064371242</v>
          </cell>
          <cell r="Y54">
            <v>2.35</v>
          </cell>
          <cell r="Z54">
            <v>2.1495258602447693</v>
          </cell>
          <cell r="AA54">
            <v>2.75510595544631</v>
          </cell>
          <cell r="AB54">
            <v>2.7850000000000001</v>
          </cell>
          <cell r="AC54">
            <v>2.16</v>
          </cell>
        </row>
        <row r="55">
          <cell r="X55">
            <v>3.0378358405168173</v>
          </cell>
          <cell r="Y55">
            <v>2.2001999999999997</v>
          </cell>
          <cell r="Z55">
            <v>2.151743132961184</v>
          </cell>
          <cell r="AA55">
            <v>2.648964445795376</v>
          </cell>
          <cell r="AB55">
            <v>2.71</v>
          </cell>
          <cell r="AC55">
            <v>2.04</v>
          </cell>
        </row>
        <row r="56">
          <cell r="X56">
            <v>3.0466662447797779</v>
          </cell>
          <cell r="Y56">
            <v>2.30375</v>
          </cell>
          <cell r="Z56">
            <v>2.2412159795151148</v>
          </cell>
          <cell r="AA56">
            <v>2.7396838158907384</v>
          </cell>
          <cell r="AB56">
            <v>2.8</v>
          </cell>
          <cell r="AC56">
            <v>2.195532</v>
          </cell>
        </row>
        <row r="57">
          <cell r="X57">
            <v>3.1626212903487692</v>
          </cell>
          <cell r="Y57">
            <v>2.3559999999999999</v>
          </cell>
          <cell r="Z57">
            <v>2.3431458543022257</v>
          </cell>
          <cell r="AA57">
            <v>2.7924782407988937</v>
          </cell>
          <cell r="AB57">
            <v>2.8940000000000001</v>
          </cell>
          <cell r="AC57">
            <v>2.23</v>
          </cell>
        </row>
        <row r="58">
          <cell r="X58">
            <v>3.0898774272862419</v>
          </cell>
          <cell r="Y58">
            <v>2.3649999999999998</v>
          </cell>
          <cell r="Z58">
            <v>2.2877310697793765</v>
          </cell>
          <cell r="AA58">
            <v>2.828407899958882</v>
          </cell>
          <cell r="AB58">
            <v>2.82</v>
          </cell>
          <cell r="AC58">
            <v>2.23</v>
          </cell>
        </row>
        <row r="59">
          <cell r="X59">
            <v>2.9018263010604821</v>
          </cell>
          <cell r="Y59">
            <v>2.3450000000000002</v>
          </cell>
          <cell r="Z59">
            <v>2.4106470991411317</v>
          </cell>
          <cell r="AA59">
            <v>2.8341175621442134</v>
          </cell>
          <cell r="AB59">
            <v>2.9174999999999995</v>
          </cell>
          <cell r="AC59">
            <v>2.35</v>
          </cell>
        </row>
        <row r="74">
          <cell r="X74" t="str">
            <v>COSTA RICA</v>
          </cell>
          <cell r="Y74" t="str">
            <v>EL SALVADOR</v>
          </cell>
          <cell r="Z74" t="str">
            <v>GUATEMALA</v>
          </cell>
          <cell r="AA74" t="str">
            <v>HONDURAS</v>
          </cell>
          <cell r="AB74" t="str">
            <v>NICARAGUA</v>
          </cell>
          <cell r="AC74" t="str">
            <v>PANAMA</v>
          </cell>
        </row>
        <row r="76">
          <cell r="W76" t="str">
            <v xml:space="preserve">Enero </v>
          </cell>
        </row>
        <row r="77">
          <cell r="W77" t="str">
            <v>Febrero</v>
          </cell>
        </row>
        <row r="78">
          <cell r="W78" t="str">
            <v>Marzo</v>
          </cell>
        </row>
        <row r="79">
          <cell r="W79" t="str">
            <v>Abril</v>
          </cell>
        </row>
        <row r="80">
          <cell r="W80" t="str">
            <v>Mayo</v>
          </cell>
        </row>
        <row r="81">
          <cell r="W81" t="str">
            <v>Junio</v>
          </cell>
        </row>
        <row r="82">
          <cell r="W82" t="str">
            <v>Julio</v>
          </cell>
        </row>
        <row r="83">
          <cell r="W83" t="str">
            <v>Agosto</v>
          </cell>
        </row>
        <row r="84">
          <cell r="W84" t="str">
            <v>Septiembre</v>
          </cell>
        </row>
        <row r="85">
          <cell r="W85" t="str">
            <v>Octubre</v>
          </cell>
        </row>
        <row r="86">
          <cell r="W86" t="str">
            <v>Noviembre</v>
          </cell>
        </row>
        <row r="87">
          <cell r="W87" t="str">
            <v>Diciembre</v>
          </cell>
        </row>
        <row r="93">
          <cell r="W93" t="str">
            <v xml:space="preserve">Enero </v>
          </cell>
        </row>
        <row r="94">
          <cell r="W94" t="str">
            <v>Febrero</v>
          </cell>
        </row>
        <row r="95">
          <cell r="W95" t="str">
            <v>Marzo</v>
          </cell>
        </row>
        <row r="96">
          <cell r="W96" t="str">
            <v>Abril</v>
          </cell>
        </row>
        <row r="97">
          <cell r="W97" t="str">
            <v>Mayo</v>
          </cell>
        </row>
        <row r="98">
          <cell r="W98" t="str">
            <v>Junio</v>
          </cell>
        </row>
        <row r="99">
          <cell r="W99" t="str">
            <v>Julio</v>
          </cell>
        </row>
        <row r="100">
          <cell r="W100" t="str">
            <v>Agosto</v>
          </cell>
        </row>
        <row r="101">
          <cell r="W101" t="str">
            <v>Septiembre</v>
          </cell>
        </row>
        <row r="102">
          <cell r="W102" t="str">
            <v>Octubre</v>
          </cell>
        </row>
        <row r="103">
          <cell r="W103" t="str">
            <v>Noviembre</v>
          </cell>
        </row>
        <row r="104">
          <cell r="W104" t="str">
            <v>Diciembre</v>
          </cell>
        </row>
        <row r="110">
          <cell r="W110" t="str">
            <v xml:space="preserve">Enero </v>
          </cell>
        </row>
        <row r="111">
          <cell r="W111" t="str">
            <v>Febrero</v>
          </cell>
        </row>
        <row r="112">
          <cell r="W112" t="str">
            <v>Marzo</v>
          </cell>
        </row>
        <row r="113">
          <cell r="W113" t="str">
            <v>Abril</v>
          </cell>
        </row>
        <row r="114">
          <cell r="W114" t="str">
            <v>Mayo</v>
          </cell>
        </row>
        <row r="115">
          <cell r="W115" t="str">
            <v>Junio</v>
          </cell>
        </row>
        <row r="116">
          <cell r="W116" t="str">
            <v>Julio</v>
          </cell>
        </row>
        <row r="117">
          <cell r="W117" t="str">
            <v>Agosto</v>
          </cell>
        </row>
        <row r="118">
          <cell r="W118" t="str">
            <v>Septiembre</v>
          </cell>
        </row>
        <row r="119">
          <cell r="W119" t="str">
            <v>Octubre</v>
          </cell>
        </row>
        <row r="120">
          <cell r="W120" t="str">
            <v>Noviembre</v>
          </cell>
        </row>
        <row r="121">
          <cell r="W121" t="str">
            <v>Diciembre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O36"/>
  <sheetViews>
    <sheetView workbookViewId="0">
      <selection activeCell="F44" sqref="F44:F45"/>
    </sheetView>
  </sheetViews>
  <sheetFormatPr baseColWidth="10" defaultColWidth="10.6640625" defaultRowHeight="15" customHeight="1" x14ac:dyDescent="0.25"/>
  <cols>
    <col min="1" max="1" width="2.6640625" style="93" customWidth="1"/>
    <col min="2" max="9" width="10.6640625" style="93" customWidth="1"/>
    <col min="10" max="10" width="2.6640625" style="93" customWidth="1"/>
    <col min="11" max="11" width="10.6640625" style="93" customWidth="1"/>
    <col min="12" max="12" width="12.6640625" style="94" customWidth="1"/>
    <col min="13" max="16384" width="10.6640625" style="93"/>
  </cols>
  <sheetData>
    <row r="1" spans="1:15" ht="15" customHeight="1" x14ac:dyDescent="0.25">
      <c r="A1" s="131"/>
      <c r="B1" s="843" t="s">
        <v>56</v>
      </c>
      <c r="C1" s="843"/>
      <c r="D1" s="843"/>
      <c r="E1" s="843"/>
      <c r="F1" s="843"/>
      <c r="G1" s="843"/>
      <c r="H1" s="843"/>
      <c r="I1" s="843"/>
    </row>
    <row r="2" spans="1:15" ht="15" customHeight="1" x14ac:dyDescent="0.25">
      <c r="A2" s="125"/>
      <c r="B2" s="844" t="s">
        <v>66</v>
      </c>
      <c r="C2" s="844"/>
      <c r="D2" s="844"/>
      <c r="E2" s="844"/>
      <c r="F2" s="844"/>
      <c r="G2" s="844"/>
      <c r="H2" s="844"/>
      <c r="I2" s="844"/>
    </row>
    <row r="3" spans="1:15" ht="15" customHeight="1" thickBot="1" x14ac:dyDescent="0.3">
      <c r="A3" s="126"/>
      <c r="B3" s="844" t="s">
        <v>1</v>
      </c>
      <c r="C3" s="844"/>
      <c r="D3" s="844"/>
      <c r="E3" s="844"/>
      <c r="F3" s="844"/>
      <c r="G3" s="844"/>
      <c r="H3" s="844"/>
      <c r="I3" s="844"/>
    </row>
    <row r="4" spans="1:15" ht="15" customHeight="1" x14ac:dyDescent="0.25">
      <c r="A4" s="126"/>
      <c r="B4" s="127"/>
      <c r="C4" s="127"/>
      <c r="D4" s="126"/>
      <c r="E4" s="127"/>
      <c r="F4" s="126"/>
      <c r="G4" s="127"/>
      <c r="H4" s="126"/>
      <c r="I4" s="127"/>
      <c r="K4" s="841" t="s">
        <v>82</v>
      </c>
      <c r="L4" s="497" t="s">
        <v>49</v>
      </c>
    </row>
    <row r="5" spans="1:15" ht="15" customHeight="1" thickBot="1" x14ac:dyDescent="0.3">
      <c r="A5" s="126"/>
      <c r="B5" s="127"/>
      <c r="C5" s="127"/>
      <c r="D5" s="126"/>
      <c r="E5" s="127"/>
      <c r="F5" s="126"/>
      <c r="G5" s="128"/>
      <c r="H5" s="126"/>
      <c r="I5" s="127"/>
      <c r="K5" s="842"/>
      <c r="L5" s="498" t="s">
        <v>48</v>
      </c>
    </row>
    <row r="6" spans="1:15" ht="15" customHeight="1" x14ac:dyDescent="0.25">
      <c r="A6" s="126"/>
      <c r="B6" s="127"/>
      <c r="C6" s="127"/>
      <c r="D6" s="126"/>
      <c r="E6" s="127"/>
      <c r="F6" s="126"/>
      <c r="G6" s="128"/>
      <c r="H6" s="126"/>
      <c r="I6" s="127"/>
      <c r="K6" s="499">
        <v>1996</v>
      </c>
      <c r="L6" s="152">
        <v>14687.9</v>
      </c>
    </row>
    <row r="7" spans="1:15" ht="15" customHeight="1" x14ac:dyDescent="0.25">
      <c r="A7" s="126"/>
      <c r="B7" s="129"/>
      <c r="C7" s="129"/>
      <c r="D7" s="126"/>
      <c r="E7" s="129"/>
      <c r="F7" s="126"/>
      <c r="G7" s="130"/>
      <c r="H7" s="126"/>
      <c r="I7" s="129"/>
      <c r="K7" s="500">
        <v>1997</v>
      </c>
      <c r="L7" s="153">
        <v>14825.8</v>
      </c>
    </row>
    <row r="8" spans="1:15" ht="15" customHeight="1" x14ac:dyDescent="0.25">
      <c r="K8" s="500">
        <v>1998</v>
      </c>
      <c r="L8" s="153">
        <v>16628.099999999999</v>
      </c>
    </row>
    <row r="9" spans="1:15" ht="15" customHeight="1" x14ac:dyDescent="0.25">
      <c r="F9" s="1"/>
      <c r="G9" s="4"/>
      <c r="H9" s="4"/>
      <c r="I9" s="4"/>
      <c r="K9" s="500">
        <v>1999</v>
      </c>
      <c r="L9" s="153">
        <v>18001.3</v>
      </c>
      <c r="M9" s="4"/>
      <c r="N9" s="4"/>
      <c r="O9" s="4"/>
    </row>
    <row r="10" spans="1:15" ht="15" customHeight="1" x14ac:dyDescent="0.25">
      <c r="F10" s="3"/>
      <c r="G10" s="2"/>
      <c r="H10" s="2"/>
      <c r="I10" s="2"/>
      <c r="K10" s="500">
        <v>2000</v>
      </c>
      <c r="L10" s="153">
        <v>16192.7</v>
      </c>
      <c r="M10" s="2"/>
      <c r="N10" s="2"/>
      <c r="O10" s="2"/>
    </row>
    <row r="11" spans="1:15" ht="15" customHeight="1" x14ac:dyDescent="0.25">
      <c r="F11" s="3"/>
      <c r="G11" s="2"/>
      <c r="H11" s="2"/>
      <c r="I11" s="2"/>
      <c r="K11" s="500">
        <v>2001</v>
      </c>
      <c r="L11" s="153">
        <v>20621</v>
      </c>
      <c r="M11" s="2"/>
      <c r="N11" s="2"/>
      <c r="O11" s="2"/>
    </row>
    <row r="12" spans="1:15" ht="15" customHeight="1" thickBot="1" x14ac:dyDescent="0.3">
      <c r="K12" s="501">
        <v>2002</v>
      </c>
      <c r="L12" s="154">
        <v>9843</v>
      </c>
    </row>
    <row r="26" spans="2:6" ht="15" customHeight="1" x14ac:dyDescent="0.25">
      <c r="B26" s="47" t="s">
        <v>259</v>
      </c>
      <c r="C26" s="47"/>
      <c r="D26" s="47"/>
      <c r="E26" s="47"/>
      <c r="F26" s="47"/>
    </row>
    <row r="34" spans="1:12" ht="15" customHeight="1" x14ac:dyDescent="0.25">
      <c r="A34" s="4"/>
      <c r="B34" s="4"/>
      <c r="C34" s="4"/>
      <c r="D34" s="4"/>
      <c r="E34" s="4"/>
      <c r="K34" s="4"/>
      <c r="L34" s="1"/>
    </row>
    <row r="35" spans="1:12" ht="15" customHeight="1" x14ac:dyDescent="0.25">
      <c r="A35" s="2"/>
      <c r="B35" s="2"/>
      <c r="C35" s="2"/>
      <c r="D35" s="2"/>
      <c r="E35" s="2"/>
      <c r="K35" s="2"/>
      <c r="L35" s="3"/>
    </row>
    <row r="36" spans="1:12" ht="15" customHeight="1" x14ac:dyDescent="0.25">
      <c r="A36" s="2"/>
      <c r="B36" s="2"/>
      <c r="C36" s="2"/>
      <c r="D36" s="2"/>
      <c r="E36" s="2"/>
      <c r="K36" s="2"/>
      <c r="L36" s="3"/>
    </row>
  </sheetData>
  <mergeCells count="4">
    <mergeCell ref="K4:K5"/>
    <mergeCell ref="B1:I1"/>
    <mergeCell ref="B2:I2"/>
    <mergeCell ref="B3:I3"/>
  </mergeCells>
  <phoneticPr fontId="10" type="noConversion"/>
  <pageMargins left="0.75" right="0.75" top="1" bottom="1" header="0" footer="0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K76"/>
  <sheetViews>
    <sheetView workbookViewId="0"/>
  </sheetViews>
  <sheetFormatPr baseColWidth="10" defaultColWidth="11.44140625" defaultRowHeight="15" customHeight="1" x14ac:dyDescent="0.25"/>
  <cols>
    <col min="1" max="1" width="2.6640625" style="13" customWidth="1"/>
    <col min="2" max="4" width="15.6640625" style="13" customWidth="1"/>
    <col min="5" max="5" width="10.6640625" style="13" customWidth="1"/>
    <col min="6" max="6" width="15.6640625" style="13" customWidth="1"/>
    <col min="7" max="7" width="10.6640625" style="13" customWidth="1"/>
    <col min="8" max="8" width="15.6640625" style="13" customWidth="1"/>
    <col min="9" max="9" width="10.6640625" style="13" customWidth="1"/>
    <col min="10" max="10" width="15.6640625" style="13" customWidth="1"/>
    <col min="11" max="11" width="10.6640625" style="13" customWidth="1"/>
    <col min="12" max="16384" width="11.44140625" style="13"/>
  </cols>
  <sheetData>
    <row r="1" spans="2:11" ht="15" customHeight="1" x14ac:dyDescent="0.25">
      <c r="B1" s="864" t="s">
        <v>162</v>
      </c>
      <c r="C1" s="864"/>
      <c r="D1" s="864"/>
      <c r="E1" s="864"/>
      <c r="F1" s="864"/>
      <c r="G1" s="864"/>
      <c r="H1" s="864"/>
      <c r="I1" s="864"/>
      <c r="J1" s="864"/>
      <c r="K1" s="864"/>
    </row>
    <row r="2" spans="2:11" ht="15" customHeight="1" x14ac:dyDescent="0.25">
      <c r="B2" s="864" t="s">
        <v>24</v>
      </c>
      <c r="C2" s="864"/>
      <c r="D2" s="864"/>
      <c r="E2" s="864"/>
      <c r="F2" s="864"/>
      <c r="G2" s="864"/>
      <c r="H2" s="864"/>
      <c r="I2" s="864"/>
      <c r="J2" s="864"/>
      <c r="K2" s="864"/>
    </row>
    <row r="3" spans="2:11" ht="15" customHeight="1" x14ac:dyDescent="0.25">
      <c r="B3" s="864" t="s">
        <v>166</v>
      </c>
      <c r="C3" s="864"/>
      <c r="D3" s="864"/>
      <c r="E3" s="864"/>
      <c r="F3" s="864"/>
      <c r="G3" s="864"/>
      <c r="H3" s="864"/>
      <c r="I3" s="864"/>
      <c r="J3" s="864"/>
      <c r="K3" s="864"/>
    </row>
    <row r="4" spans="2:11" ht="15" customHeight="1" thickBot="1" x14ac:dyDescent="0.3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24.9" customHeight="1" thickBot="1" x14ac:dyDescent="0.3">
      <c r="B5" s="919" t="s">
        <v>156</v>
      </c>
      <c r="C5" s="920"/>
      <c r="D5" s="920"/>
      <c r="E5" s="920"/>
      <c r="F5" s="920"/>
      <c r="G5" s="920"/>
      <c r="H5" s="920"/>
      <c r="I5" s="920"/>
      <c r="J5" s="920"/>
      <c r="K5" s="921"/>
    </row>
    <row r="6" spans="2:11" ht="15" customHeight="1" x14ac:dyDescent="0.25">
      <c r="B6" s="922" t="s">
        <v>100</v>
      </c>
      <c r="C6" s="924" t="s">
        <v>25</v>
      </c>
      <c r="D6" s="916" t="s">
        <v>110</v>
      </c>
      <c r="E6" s="917"/>
      <c r="F6" s="918" t="s">
        <v>111</v>
      </c>
      <c r="G6" s="918"/>
      <c r="H6" s="916" t="s">
        <v>112</v>
      </c>
      <c r="I6" s="917"/>
      <c r="J6" s="916" t="s">
        <v>113</v>
      </c>
      <c r="K6" s="917"/>
    </row>
    <row r="7" spans="2:11" ht="15" customHeight="1" thickBot="1" x14ac:dyDescent="0.3">
      <c r="B7" s="923"/>
      <c r="C7" s="925"/>
      <c r="D7" s="551" t="s">
        <v>78</v>
      </c>
      <c r="E7" s="552" t="s">
        <v>114</v>
      </c>
      <c r="F7" s="551" t="s">
        <v>78</v>
      </c>
      <c r="G7" s="552" t="s">
        <v>114</v>
      </c>
      <c r="H7" s="551" t="s">
        <v>78</v>
      </c>
      <c r="I7" s="552" t="s">
        <v>114</v>
      </c>
      <c r="J7" s="551" t="s">
        <v>78</v>
      </c>
      <c r="K7" s="552" t="s">
        <v>114</v>
      </c>
    </row>
    <row r="8" spans="2:11" ht="15" customHeight="1" x14ac:dyDescent="0.25">
      <c r="B8" s="553" t="s">
        <v>86</v>
      </c>
      <c r="C8" s="184">
        <v>1799973</v>
      </c>
      <c r="D8" s="185">
        <v>15539850</v>
      </c>
      <c r="E8" s="186">
        <f>+D8/C8</f>
        <v>8.6333795006925111</v>
      </c>
      <c r="F8" s="185">
        <v>1589773</v>
      </c>
      <c r="G8" s="186">
        <f>+F8/C8</f>
        <v>0.88322047052928021</v>
      </c>
      <c r="H8" s="187">
        <v>6645</v>
      </c>
      <c r="I8" s="188">
        <f>+H8/C8</f>
        <v>3.691722042497304E-3</v>
      </c>
      <c r="J8" s="187">
        <f>+D8+F8+H8</f>
        <v>17136268</v>
      </c>
      <c r="K8" s="186">
        <f>+J8/C8</f>
        <v>9.5202916932642871</v>
      </c>
    </row>
    <row r="9" spans="2:11" ht="15" customHeight="1" x14ac:dyDescent="0.25">
      <c r="B9" s="554" t="s">
        <v>87</v>
      </c>
      <c r="C9" s="189">
        <v>1096174</v>
      </c>
      <c r="D9" s="190">
        <v>10536177</v>
      </c>
      <c r="E9" s="191">
        <f>+D9/C9</f>
        <v>9.6117742256247638</v>
      </c>
      <c r="F9" s="190">
        <v>811461</v>
      </c>
      <c r="G9" s="186">
        <f>+F9/C9</f>
        <v>0.74026660001058231</v>
      </c>
      <c r="H9" s="192">
        <v>3609</v>
      </c>
      <c r="I9" s="188">
        <f>+H9/C9</f>
        <v>3.2923605194065905E-3</v>
      </c>
      <c r="J9" s="187">
        <f>+D9+F9+H9</f>
        <v>11351247</v>
      </c>
      <c r="K9" s="191">
        <f>+J9/C9</f>
        <v>10.355333186154752</v>
      </c>
    </row>
    <row r="10" spans="2:11" ht="15" customHeight="1" x14ac:dyDescent="0.25">
      <c r="B10" s="554" t="s">
        <v>88</v>
      </c>
      <c r="C10" s="189">
        <v>1822713</v>
      </c>
      <c r="D10" s="190">
        <v>20573057</v>
      </c>
      <c r="E10" s="191">
        <f>+D10/C10</f>
        <v>11.287052322554347</v>
      </c>
      <c r="F10" s="190">
        <v>940604</v>
      </c>
      <c r="G10" s="186">
        <f>+F10/C10</f>
        <v>0.51604613562310686</v>
      </c>
      <c r="H10" s="192">
        <v>6841</v>
      </c>
      <c r="I10" s="188">
        <f>+H10/C10</f>
        <v>3.753196471413766E-3</v>
      </c>
      <c r="J10" s="187">
        <f>+D10+F10+H10</f>
        <v>21520502</v>
      </c>
      <c r="K10" s="191">
        <f>+J10/C10</f>
        <v>11.806851654648867</v>
      </c>
    </row>
    <row r="11" spans="2:11" ht="15" customHeight="1" x14ac:dyDescent="0.25">
      <c r="B11" s="555" t="s">
        <v>115</v>
      </c>
      <c r="C11" s="194">
        <f>SUM(C8:C10)</f>
        <v>4718860</v>
      </c>
      <c r="D11" s="195">
        <f>SUM(D8:D10)</f>
        <v>46649084</v>
      </c>
      <c r="E11" s="196">
        <f>+D11/C11</f>
        <v>9.885668148663024</v>
      </c>
      <c r="F11" s="195">
        <f>SUM(F8:F10)</f>
        <v>3341838</v>
      </c>
      <c r="G11" s="213">
        <f>+F11/C11</f>
        <v>0.70818757072682814</v>
      </c>
      <c r="H11" s="195">
        <f>SUM(H8:H10)</f>
        <v>17095</v>
      </c>
      <c r="I11" s="214">
        <f>+H11/C11</f>
        <v>3.6226970073280412E-3</v>
      </c>
      <c r="J11" s="195">
        <f>SUM(J8:J10)</f>
        <v>50008017</v>
      </c>
      <c r="K11" s="196">
        <f>+J11/C11</f>
        <v>10.59747841639718</v>
      </c>
    </row>
    <row r="12" spans="2:11" ht="5.0999999999999996" customHeight="1" x14ac:dyDescent="0.25">
      <c r="B12" s="554"/>
      <c r="C12" s="189"/>
      <c r="D12" s="190"/>
      <c r="E12" s="198"/>
      <c r="F12" s="190"/>
      <c r="G12" s="198"/>
      <c r="H12" s="199"/>
      <c r="I12" s="198"/>
      <c r="J12" s="199"/>
      <c r="K12" s="191"/>
    </row>
    <row r="13" spans="2:11" ht="15" customHeight="1" x14ac:dyDescent="0.25">
      <c r="B13" s="554" t="s">
        <v>89</v>
      </c>
      <c r="C13" s="189">
        <v>1718617</v>
      </c>
      <c r="D13" s="190">
        <v>25099050</v>
      </c>
      <c r="E13" s="191">
        <f>+D13/C13</f>
        <v>14.604213736975719</v>
      </c>
      <c r="F13" s="190">
        <v>1132739</v>
      </c>
      <c r="G13" s="186">
        <f>+F13/C13</f>
        <v>0.65909914774496003</v>
      </c>
      <c r="H13" s="190">
        <v>8342</v>
      </c>
      <c r="I13" s="188">
        <f>+H13/C13</f>
        <v>4.8539028765571387E-3</v>
      </c>
      <c r="J13" s="187">
        <f>+D13+F13+H13</f>
        <v>26240131</v>
      </c>
      <c r="K13" s="191">
        <f>+J13/C13</f>
        <v>15.268166787597236</v>
      </c>
    </row>
    <row r="14" spans="2:11" ht="15" customHeight="1" x14ac:dyDescent="0.25">
      <c r="B14" s="554" t="s">
        <v>90</v>
      </c>
      <c r="C14" s="189">
        <v>1484762</v>
      </c>
      <c r="D14" s="190">
        <v>23353574</v>
      </c>
      <c r="E14" s="191">
        <f>+D14/C14</f>
        <v>15.728833307964509</v>
      </c>
      <c r="F14" s="190">
        <v>1226931</v>
      </c>
      <c r="G14" s="186">
        <f>+F14/C14</f>
        <v>0.82634859997763954</v>
      </c>
      <c r="H14" s="190">
        <v>7795</v>
      </c>
      <c r="I14" s="188">
        <f>+H14/C14</f>
        <v>5.2499996632456919E-3</v>
      </c>
      <c r="J14" s="187">
        <f>+D14+F14+H14</f>
        <v>24588300</v>
      </c>
      <c r="K14" s="191">
        <f>+J14/C14</f>
        <v>16.560431907605395</v>
      </c>
    </row>
    <row r="15" spans="2:11" ht="15" customHeight="1" x14ac:dyDescent="0.25">
      <c r="B15" s="554" t="s">
        <v>91</v>
      </c>
      <c r="C15" s="189">
        <v>1448361</v>
      </c>
      <c r="D15" s="190">
        <v>21765184</v>
      </c>
      <c r="E15" s="191">
        <f>+D15/C15</f>
        <v>15.027457933484815</v>
      </c>
      <c r="F15" s="190">
        <v>416757</v>
      </c>
      <c r="G15" s="186">
        <f>+F15/C15</f>
        <v>0.2877438704853279</v>
      </c>
      <c r="H15" s="190">
        <v>7054</v>
      </c>
      <c r="I15" s="188">
        <f>+H15/C15</f>
        <v>4.8703327416300219E-3</v>
      </c>
      <c r="J15" s="187">
        <f>+D15+F15+H15</f>
        <v>22188995</v>
      </c>
      <c r="K15" s="191">
        <f>+J15/C15</f>
        <v>15.320072136711772</v>
      </c>
    </row>
    <row r="16" spans="2:11" ht="15" customHeight="1" x14ac:dyDescent="0.25">
      <c r="B16" s="555" t="s">
        <v>116</v>
      </c>
      <c r="C16" s="194">
        <f>SUM(C13:C15)</f>
        <v>4651740</v>
      </c>
      <c r="D16" s="195">
        <f>SUM(D13:D15)</f>
        <v>70217808</v>
      </c>
      <c r="E16" s="196">
        <f>+D16/C16</f>
        <v>15.094955436030389</v>
      </c>
      <c r="F16" s="195">
        <f>SUM(F13:F15)</f>
        <v>2776427</v>
      </c>
      <c r="G16" s="213">
        <f>+F16/C16</f>
        <v>0.59685773495509209</v>
      </c>
      <c r="H16" s="195">
        <f>SUM(H13:H15)</f>
        <v>23191</v>
      </c>
      <c r="I16" s="214">
        <f>+H16/C16</f>
        <v>4.9854463061134117E-3</v>
      </c>
      <c r="J16" s="195">
        <f>SUM(J13:J15)</f>
        <v>73017426</v>
      </c>
      <c r="K16" s="196">
        <f>+J16/C16</f>
        <v>15.696798617291595</v>
      </c>
    </row>
    <row r="17" spans="2:11" ht="5.0999999999999996" customHeight="1" x14ac:dyDescent="0.25">
      <c r="B17" s="554"/>
      <c r="C17" s="189"/>
      <c r="D17" s="190"/>
      <c r="E17" s="198"/>
      <c r="F17" s="190"/>
      <c r="G17" s="198"/>
      <c r="H17" s="199"/>
      <c r="I17" s="198"/>
      <c r="J17" s="199"/>
      <c r="K17" s="191"/>
    </row>
    <row r="18" spans="2:11" ht="15" customHeight="1" x14ac:dyDescent="0.25">
      <c r="B18" s="554" t="s">
        <v>93</v>
      </c>
      <c r="C18" s="189">
        <v>1775572</v>
      </c>
      <c r="D18" s="190">
        <v>29447207</v>
      </c>
      <c r="E18" s="191">
        <f>+D18/C18</f>
        <v>16.58463131880881</v>
      </c>
      <c r="F18" s="190">
        <v>432654</v>
      </c>
      <c r="G18" s="186">
        <f>+F18/C18</f>
        <v>0.24367020881158297</v>
      </c>
      <c r="H18" s="190">
        <v>9501</v>
      </c>
      <c r="I18" s="188">
        <f>+H18/C18</f>
        <v>5.3509516933134783E-3</v>
      </c>
      <c r="J18" s="187">
        <f>+D18+F18+H18</f>
        <v>29889362</v>
      </c>
      <c r="K18" s="191">
        <f>+J18/C18</f>
        <v>16.833652479313709</v>
      </c>
    </row>
    <row r="19" spans="2:11" ht="15" customHeight="1" x14ac:dyDescent="0.25">
      <c r="B19" s="554" t="s">
        <v>94</v>
      </c>
      <c r="C19" s="189">
        <v>1151985</v>
      </c>
      <c r="D19" s="190">
        <v>21229475</v>
      </c>
      <c r="E19" s="191">
        <f>+D19/C19</f>
        <v>18.428603671054745</v>
      </c>
      <c r="F19" s="190">
        <v>1129729</v>
      </c>
      <c r="G19" s="186">
        <f>+F19/C19</f>
        <v>0.98068030399701389</v>
      </c>
      <c r="H19" s="190">
        <v>7023</v>
      </c>
      <c r="I19" s="188">
        <f>+H19/C19</f>
        <v>6.096433547311814E-3</v>
      </c>
      <c r="J19" s="187">
        <f>+D19+F19+H19</f>
        <v>22366227</v>
      </c>
      <c r="K19" s="191">
        <f>+J19/C19</f>
        <v>19.41538040859907</v>
      </c>
    </row>
    <row r="20" spans="2:11" ht="15" customHeight="1" x14ac:dyDescent="0.25">
      <c r="B20" s="554" t="s">
        <v>101</v>
      </c>
      <c r="C20" s="189">
        <v>1456732</v>
      </c>
      <c r="D20" s="190">
        <v>29362812</v>
      </c>
      <c r="E20" s="191">
        <f>+D20/C20</f>
        <v>20.156632791755793</v>
      </c>
      <c r="F20" s="190">
        <v>967931</v>
      </c>
      <c r="G20" s="186">
        <f>+F20/C20</f>
        <v>0.6644537224417395</v>
      </c>
      <c r="H20" s="190">
        <v>9698</v>
      </c>
      <c r="I20" s="188">
        <f>+H20/C20</f>
        <v>6.6573673125873527E-3</v>
      </c>
      <c r="J20" s="187">
        <f>+D20+F20+H20</f>
        <v>30340441</v>
      </c>
      <c r="K20" s="191">
        <f>+J20/C20</f>
        <v>20.82774388151012</v>
      </c>
    </row>
    <row r="21" spans="2:11" ht="15" customHeight="1" x14ac:dyDescent="0.25">
      <c r="B21" s="555" t="s">
        <v>117</v>
      </c>
      <c r="C21" s="194">
        <f>SUM(C18:C20)</f>
        <v>4384289</v>
      </c>
      <c r="D21" s="195">
        <f>SUM(D18:D20)</f>
        <v>80039494</v>
      </c>
      <c r="E21" s="196">
        <f>+D21/C21</f>
        <v>18.255980388154157</v>
      </c>
      <c r="F21" s="195">
        <f>SUM(F18:F20)</f>
        <v>2530314</v>
      </c>
      <c r="G21" s="186">
        <f>+F21/C21</f>
        <v>0.57713211879965032</v>
      </c>
      <c r="H21" s="195">
        <f>SUM(H18:H20)</f>
        <v>26222</v>
      </c>
      <c r="I21" s="214">
        <f>+H21/C21</f>
        <v>5.9809013502531427E-3</v>
      </c>
      <c r="J21" s="195">
        <f>SUM(J18:J20)</f>
        <v>82596030</v>
      </c>
      <c r="K21" s="196">
        <f>+J21/C21</f>
        <v>18.839093408304059</v>
      </c>
    </row>
    <row r="22" spans="2:11" ht="5.0999999999999996" customHeight="1" x14ac:dyDescent="0.25">
      <c r="B22" s="554"/>
      <c r="C22" s="189"/>
      <c r="D22" s="190"/>
      <c r="E22" s="198"/>
      <c r="F22" s="190"/>
      <c r="G22" s="198"/>
      <c r="H22" s="199"/>
      <c r="I22" s="198"/>
      <c r="J22" s="199"/>
      <c r="K22" s="191"/>
    </row>
    <row r="23" spans="2:11" ht="15" customHeight="1" x14ac:dyDescent="0.25">
      <c r="B23" s="554" t="s">
        <v>95</v>
      </c>
      <c r="C23" s="189">
        <v>1560048</v>
      </c>
      <c r="D23" s="190">
        <v>31956228</v>
      </c>
      <c r="E23" s="191">
        <f>+D23/C23</f>
        <v>20.484131257499769</v>
      </c>
      <c r="F23" s="190">
        <v>1238311</v>
      </c>
      <c r="G23" s="186">
        <f>+F23/C23</f>
        <v>0.79376467903551684</v>
      </c>
      <c r="H23" s="190">
        <v>10574</v>
      </c>
      <c r="I23" s="188">
        <f>+H23/C23</f>
        <v>6.777996574464375E-3</v>
      </c>
      <c r="J23" s="187">
        <f>+D23+F23+H23</f>
        <v>33205113</v>
      </c>
      <c r="K23" s="191">
        <f>+J23/C23</f>
        <v>21.284673933109751</v>
      </c>
    </row>
    <row r="24" spans="2:11" ht="15" customHeight="1" x14ac:dyDescent="0.25">
      <c r="B24" s="554" t="s">
        <v>96</v>
      </c>
      <c r="C24" s="189">
        <v>1386237</v>
      </c>
      <c r="D24" s="190">
        <v>31148660</v>
      </c>
      <c r="E24" s="191">
        <f>+D24/C24</f>
        <v>22.469938401586454</v>
      </c>
      <c r="F24" s="190">
        <v>1165584</v>
      </c>
      <c r="G24" s="186">
        <f>+F24/C24</f>
        <v>0.84082591937742246</v>
      </c>
      <c r="H24" s="190">
        <v>10275</v>
      </c>
      <c r="I24" s="188">
        <v>0</v>
      </c>
      <c r="J24" s="187">
        <f>+D24+F24+H24</f>
        <v>32324519</v>
      </c>
      <c r="K24" s="191">
        <v>0</v>
      </c>
    </row>
    <row r="25" spans="2:11" ht="15" customHeight="1" x14ac:dyDescent="0.25">
      <c r="B25" s="554" t="s">
        <v>97</v>
      </c>
      <c r="C25" s="189">
        <v>1300153</v>
      </c>
      <c r="D25" s="190">
        <v>29453142</v>
      </c>
      <c r="E25" s="191">
        <f>+D25/C25</f>
        <v>22.653596922823699</v>
      </c>
      <c r="F25" s="190">
        <v>1351499</v>
      </c>
      <c r="G25" s="186">
        <f>+F25/C25</f>
        <v>1.0394922751399258</v>
      </c>
      <c r="H25" s="190">
        <v>9796</v>
      </c>
      <c r="I25" s="188">
        <f>+H25/C25</f>
        <v>7.5344978629438225E-3</v>
      </c>
      <c r="J25" s="187">
        <f>+D25+F25+H25</f>
        <v>30814437</v>
      </c>
      <c r="K25" s="191">
        <f>+J25/C25</f>
        <v>23.700623695826568</v>
      </c>
    </row>
    <row r="26" spans="2:11" ht="15" customHeight="1" thickBot="1" x14ac:dyDescent="0.3">
      <c r="B26" s="556" t="s">
        <v>118</v>
      </c>
      <c r="C26" s="200">
        <f>SUM(C23:C25)</f>
        <v>4246438</v>
      </c>
      <c r="D26" s="200">
        <f>SUM(D23:D25)</f>
        <v>92558030</v>
      </c>
      <c r="E26" s="202">
        <f>+D26/C26</f>
        <v>21.796628138689414</v>
      </c>
      <c r="F26" s="201">
        <f>SUM(F23:F25)</f>
        <v>3755394</v>
      </c>
      <c r="G26" s="213">
        <f>+F26/C26</f>
        <v>0.88436331815041214</v>
      </c>
      <c r="H26" s="201">
        <f>SUM(H23:H25)</f>
        <v>30645</v>
      </c>
      <c r="I26" s="214">
        <f>+H26/C26</f>
        <v>7.216636625802614E-3</v>
      </c>
      <c r="J26" s="201">
        <f>SUM(J23:J25)</f>
        <v>96344069</v>
      </c>
      <c r="K26" s="202">
        <f>+J26/C26</f>
        <v>22.688208093465629</v>
      </c>
    </row>
    <row r="27" spans="2:11" ht="24.9" customHeight="1" thickBot="1" x14ac:dyDescent="0.3">
      <c r="B27" s="557" t="s">
        <v>119</v>
      </c>
      <c r="C27" s="204">
        <f>+C11+C16+C21+C26</f>
        <v>18001327</v>
      </c>
      <c r="D27" s="205">
        <f>+D11+D16+D21+D26</f>
        <v>289464416</v>
      </c>
      <c r="E27" s="206">
        <f>+D27/C27</f>
        <v>16.080170978506196</v>
      </c>
      <c r="F27" s="205">
        <f>+F11+F16+F21+F26</f>
        <v>12403973</v>
      </c>
      <c r="G27" s="208">
        <f>+F27/C27</f>
        <v>0.68905881216423659</v>
      </c>
      <c r="H27" s="205">
        <f>+H11+H16+H21+H26</f>
        <v>97153</v>
      </c>
      <c r="I27" s="209">
        <f>+H27/C27</f>
        <v>5.3969910107182651E-3</v>
      </c>
      <c r="J27" s="205">
        <f>+J11+J16+J21+J26</f>
        <v>301965542</v>
      </c>
      <c r="K27" s="208">
        <f>+J27/C27</f>
        <v>16.77462678168115</v>
      </c>
    </row>
    <row r="28" spans="2:11" ht="15" customHeight="1" thickBot="1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2:11" ht="24.9" customHeight="1" thickBot="1" x14ac:dyDescent="0.3">
      <c r="B29" s="919" t="s">
        <v>154</v>
      </c>
      <c r="C29" s="920"/>
      <c r="D29" s="920"/>
      <c r="E29" s="920"/>
      <c r="F29" s="920"/>
      <c r="G29" s="920"/>
      <c r="H29" s="920"/>
      <c r="I29" s="920"/>
      <c r="J29" s="920"/>
      <c r="K29" s="921"/>
    </row>
    <row r="30" spans="2:11" ht="15" customHeight="1" x14ac:dyDescent="0.25">
      <c r="B30" s="922" t="s">
        <v>100</v>
      </c>
      <c r="C30" s="924" t="s">
        <v>25</v>
      </c>
      <c r="D30" s="916" t="s">
        <v>110</v>
      </c>
      <c r="E30" s="917"/>
      <c r="F30" s="918" t="s">
        <v>111</v>
      </c>
      <c r="G30" s="918"/>
      <c r="H30" s="916" t="s">
        <v>112</v>
      </c>
      <c r="I30" s="917"/>
      <c r="J30" s="916" t="s">
        <v>113</v>
      </c>
      <c r="K30" s="917"/>
    </row>
    <row r="31" spans="2:11" ht="15" customHeight="1" thickBot="1" x14ac:dyDescent="0.3">
      <c r="B31" s="923"/>
      <c r="C31" s="925"/>
      <c r="D31" s="551" t="s">
        <v>78</v>
      </c>
      <c r="E31" s="552" t="s">
        <v>114</v>
      </c>
      <c r="F31" s="551" t="s">
        <v>78</v>
      </c>
      <c r="G31" s="552" t="s">
        <v>114</v>
      </c>
      <c r="H31" s="551" t="s">
        <v>78</v>
      </c>
      <c r="I31" s="552" t="s">
        <v>114</v>
      </c>
      <c r="J31" s="551" t="s">
        <v>78</v>
      </c>
      <c r="K31" s="552" t="s">
        <v>114</v>
      </c>
    </row>
    <row r="32" spans="2:11" ht="15" customHeight="1" x14ac:dyDescent="0.25">
      <c r="B32" s="553" t="s">
        <v>86</v>
      </c>
      <c r="C32" s="184">
        <v>1440562</v>
      </c>
      <c r="D32" s="185">
        <v>36706880</v>
      </c>
      <c r="E32" s="186">
        <f>+D32/C32</f>
        <v>25.480944242594209</v>
      </c>
      <c r="F32" s="185">
        <v>1392124</v>
      </c>
      <c r="G32" s="186">
        <f>+F32/C32</f>
        <v>0.96637562284719436</v>
      </c>
      <c r="H32" s="187">
        <v>11453</v>
      </c>
      <c r="I32" s="188">
        <f>+H32/C32</f>
        <v>7.950369369732091E-3</v>
      </c>
      <c r="J32" s="187">
        <f>+D32+F32+H32</f>
        <v>38110457</v>
      </c>
      <c r="K32" s="186">
        <f>+J32/C32</f>
        <v>26.455270234811135</v>
      </c>
    </row>
    <row r="33" spans="2:11" ht="15" customHeight="1" x14ac:dyDescent="0.25">
      <c r="B33" s="554" t="s">
        <v>87</v>
      </c>
      <c r="C33" s="189">
        <v>1501692</v>
      </c>
      <c r="D33" s="190">
        <v>41299736</v>
      </c>
      <c r="E33" s="191">
        <f>+D33/C33</f>
        <v>27.502134925137778</v>
      </c>
      <c r="F33" s="190">
        <v>1291323</v>
      </c>
      <c r="G33" s="186">
        <f>+F33/C33</f>
        <v>0.85991201924229466</v>
      </c>
      <c r="H33" s="192">
        <v>12630</v>
      </c>
      <c r="I33" s="188">
        <f>+H33/C33</f>
        <v>8.4105129414020988E-3</v>
      </c>
      <c r="J33" s="187">
        <f>+D33+F33+H33</f>
        <v>42603689</v>
      </c>
      <c r="K33" s="191">
        <f>+J33/C33</f>
        <v>28.370457457321475</v>
      </c>
    </row>
    <row r="34" spans="2:11" ht="15" customHeight="1" x14ac:dyDescent="0.25">
      <c r="B34" s="554" t="s">
        <v>88</v>
      </c>
      <c r="C34" s="189">
        <v>340950</v>
      </c>
      <c r="D34" s="190">
        <v>9421493</v>
      </c>
      <c r="E34" s="191">
        <f>+D34/C34</f>
        <v>27.633063499046781</v>
      </c>
      <c r="F34" s="190">
        <v>240000</v>
      </c>
      <c r="G34" s="186">
        <f>+F34/C34</f>
        <v>0.70391553013638364</v>
      </c>
      <c r="H34" s="192">
        <v>2904</v>
      </c>
      <c r="I34" s="188">
        <f>+H34/C34</f>
        <v>8.5173779146502423E-3</v>
      </c>
      <c r="J34" s="187">
        <f>+D34+F34+H34</f>
        <v>9664397</v>
      </c>
      <c r="K34" s="191">
        <f>+J34/C34</f>
        <v>28.345496407097816</v>
      </c>
    </row>
    <row r="35" spans="2:11" ht="15" customHeight="1" x14ac:dyDescent="0.25">
      <c r="B35" s="555" t="s">
        <v>115</v>
      </c>
      <c r="C35" s="194">
        <f>SUM(C32:C34)</f>
        <v>3283204</v>
      </c>
      <c r="D35" s="195">
        <f>SUM(D32:D34)</f>
        <v>87428109</v>
      </c>
      <c r="E35" s="196">
        <f>+D35/C35</f>
        <v>26.628899392179104</v>
      </c>
      <c r="F35" s="195">
        <f>SUM(F32:F34)</f>
        <v>2923447</v>
      </c>
      <c r="G35" s="213">
        <f>+F35/C35</f>
        <v>0.89042502384865518</v>
      </c>
      <c r="H35" s="195">
        <f>SUM(H32:H34)</f>
        <v>26987</v>
      </c>
      <c r="I35" s="214">
        <f>+H35/C35</f>
        <v>8.2197146445971685E-3</v>
      </c>
      <c r="J35" s="195">
        <f>SUM(J32:J34)</f>
        <v>90378543</v>
      </c>
      <c r="K35" s="196">
        <f>+J35/C35</f>
        <v>27.527544130672357</v>
      </c>
    </row>
    <row r="36" spans="2:11" ht="5.0999999999999996" customHeight="1" x14ac:dyDescent="0.25">
      <c r="B36" s="554"/>
      <c r="C36" s="189"/>
      <c r="D36" s="190"/>
      <c r="E36" s="198"/>
      <c r="F36" s="190"/>
      <c r="G36" s="198"/>
      <c r="H36" s="199"/>
      <c r="I36" s="198"/>
      <c r="J36" s="199"/>
      <c r="K36" s="191"/>
    </row>
    <row r="37" spans="2:11" ht="15" customHeight="1" x14ac:dyDescent="0.25">
      <c r="B37" s="554" t="s">
        <v>89</v>
      </c>
      <c r="C37" s="189">
        <v>1128207</v>
      </c>
      <c r="D37" s="190">
        <v>25365827</v>
      </c>
      <c r="E37" s="191">
        <f>+D37/C37</f>
        <v>22.483309357236749</v>
      </c>
      <c r="F37" s="190">
        <v>1236613</v>
      </c>
      <c r="G37" s="186">
        <f>+F37/C37</f>
        <v>1.0960869769466064</v>
      </c>
      <c r="H37" s="190">
        <v>7995</v>
      </c>
      <c r="I37" s="188">
        <f>+H37/C37</f>
        <v>7.0864655156367582E-3</v>
      </c>
      <c r="J37" s="187">
        <f>+D37+F37+H37</f>
        <v>26610435</v>
      </c>
      <c r="K37" s="191">
        <f>+J37/C37</f>
        <v>23.586482799698992</v>
      </c>
    </row>
    <row r="38" spans="2:11" ht="15" customHeight="1" x14ac:dyDescent="0.25">
      <c r="B38" s="554" t="s">
        <v>90</v>
      </c>
      <c r="C38" s="189">
        <v>1086487</v>
      </c>
      <c r="D38" s="190">
        <v>26855332</v>
      </c>
      <c r="E38" s="191">
        <f>+D38/C38</f>
        <v>24.71758244691377</v>
      </c>
      <c r="F38" s="190">
        <v>1059659</v>
      </c>
      <c r="G38" s="186">
        <f>+F38/C38</f>
        <v>0.97530757385960443</v>
      </c>
      <c r="H38" s="190">
        <v>8391</v>
      </c>
      <c r="I38" s="188">
        <f>+H38/C38</f>
        <v>7.7230560512919159E-3</v>
      </c>
      <c r="J38" s="187">
        <f>+D38+F38+H38</f>
        <v>27923382</v>
      </c>
      <c r="K38" s="191">
        <f>+J38/C38</f>
        <v>25.700613076824666</v>
      </c>
    </row>
    <row r="39" spans="2:11" ht="15" customHeight="1" x14ac:dyDescent="0.25">
      <c r="B39" s="554" t="s">
        <v>91</v>
      </c>
      <c r="C39" s="189">
        <v>1803119</v>
      </c>
      <c r="D39" s="190">
        <v>49280253</v>
      </c>
      <c r="E39" s="191">
        <f>+D39/C39</f>
        <v>27.330560545366112</v>
      </c>
      <c r="F39" s="190">
        <v>2146037</v>
      </c>
      <c r="G39" s="186">
        <f>+F39/C39</f>
        <v>1.1901804595259657</v>
      </c>
      <c r="H39" s="190">
        <v>15459</v>
      </c>
      <c r="I39" s="188">
        <f>+H39/C39</f>
        <v>8.5734774022124989E-3</v>
      </c>
      <c r="J39" s="187">
        <f>+D39+F39+H39</f>
        <v>51441749</v>
      </c>
      <c r="K39" s="191">
        <f>+J39/C39</f>
        <v>28.529314482294293</v>
      </c>
    </row>
    <row r="40" spans="2:11" ht="15" customHeight="1" x14ac:dyDescent="0.25">
      <c r="B40" s="555" t="s">
        <v>116</v>
      </c>
      <c r="C40" s="194">
        <f>SUM(C37:C39)</f>
        <v>4017813</v>
      </c>
      <c r="D40" s="195">
        <f>SUM(D37:D39)</f>
        <v>101501412</v>
      </c>
      <c r="E40" s="196">
        <f>+D40/C40</f>
        <v>25.262851207858603</v>
      </c>
      <c r="F40" s="195">
        <f>SUM(F37:F39)</f>
        <v>4442309</v>
      </c>
      <c r="G40" s="213">
        <f>+F40/C40</f>
        <v>1.1056534985575486</v>
      </c>
      <c r="H40" s="195">
        <f>SUM(H37:H39)</f>
        <v>31845</v>
      </c>
      <c r="I40" s="214">
        <f>+H40/C40</f>
        <v>7.9259537464784948E-3</v>
      </c>
      <c r="J40" s="195">
        <f>SUM(J37:J39)</f>
        <v>105975566</v>
      </c>
      <c r="K40" s="196">
        <f>+J40/C40</f>
        <v>26.376430660162629</v>
      </c>
    </row>
    <row r="41" spans="2:11" ht="5.0999999999999996" customHeight="1" x14ac:dyDescent="0.25">
      <c r="B41" s="554"/>
      <c r="C41" s="189"/>
      <c r="D41" s="190"/>
      <c r="E41" s="198"/>
      <c r="F41" s="190"/>
      <c r="G41" s="198"/>
      <c r="H41" s="199"/>
      <c r="I41" s="198"/>
      <c r="J41" s="199"/>
      <c r="K41" s="191"/>
    </row>
    <row r="42" spans="2:11" ht="15" customHeight="1" x14ac:dyDescent="0.25">
      <c r="B42" s="554" t="s">
        <v>93</v>
      </c>
      <c r="C42" s="189">
        <v>1799008</v>
      </c>
      <c r="D42" s="190">
        <v>48776097</v>
      </c>
      <c r="E42" s="191">
        <f>+D42/C42</f>
        <v>27.112773817570574</v>
      </c>
      <c r="F42" s="190">
        <v>2054320</v>
      </c>
      <c r="G42" s="186">
        <f>+F42/C42</f>
        <v>1.14191821270389</v>
      </c>
      <c r="H42" s="190">
        <v>15280</v>
      </c>
      <c r="I42" s="188">
        <f>+H42/C42</f>
        <v>8.4935697895729204E-3</v>
      </c>
      <c r="J42" s="187">
        <f>+D42+F42+H42</f>
        <v>50845697</v>
      </c>
      <c r="K42" s="191">
        <f>+J42/C42</f>
        <v>28.263185600064034</v>
      </c>
    </row>
    <row r="43" spans="2:11" ht="15" customHeight="1" x14ac:dyDescent="0.25">
      <c r="B43" s="554" t="s">
        <v>94</v>
      </c>
      <c r="C43" s="189">
        <v>1511047</v>
      </c>
      <c r="D43" s="190">
        <v>40031003</v>
      </c>
      <c r="E43" s="191">
        <f>+D43/C43</f>
        <v>26.492228898240757</v>
      </c>
      <c r="F43" s="190">
        <v>2311128</v>
      </c>
      <c r="G43" s="186">
        <f>+F43/C43</f>
        <v>1.5294878319469878</v>
      </c>
      <c r="H43" s="190">
        <v>12729</v>
      </c>
      <c r="I43" s="188">
        <f>+H43/C43</f>
        <v>8.4239603400820748E-3</v>
      </c>
      <c r="J43" s="187">
        <f>+D43+F43+H43</f>
        <v>42354860</v>
      </c>
      <c r="K43" s="191">
        <f>+J43/C43</f>
        <v>28.030140690527826</v>
      </c>
    </row>
    <row r="44" spans="2:11" ht="15" customHeight="1" x14ac:dyDescent="0.25">
      <c r="B44" s="554" t="s">
        <v>101</v>
      </c>
      <c r="C44" s="189">
        <v>1148189</v>
      </c>
      <c r="D44" s="190">
        <v>34808105</v>
      </c>
      <c r="E44" s="191">
        <f>+D44/C44</f>
        <v>30.31565796223444</v>
      </c>
      <c r="F44" s="190">
        <v>1434467</v>
      </c>
      <c r="G44" s="186">
        <f>+F44/C44</f>
        <v>1.2493300319024132</v>
      </c>
      <c r="H44" s="190">
        <v>10895</v>
      </c>
      <c r="I44" s="188">
        <f>+H44/C44</f>
        <v>9.488855928771309E-3</v>
      </c>
      <c r="J44" s="187">
        <f>+D44+F44+H44</f>
        <v>36253467</v>
      </c>
      <c r="K44" s="191">
        <f>+J44/C44</f>
        <v>31.574476850065626</v>
      </c>
    </row>
    <row r="45" spans="2:11" ht="15" customHeight="1" x14ac:dyDescent="0.25">
      <c r="B45" s="555" t="s">
        <v>117</v>
      </c>
      <c r="C45" s="194">
        <f>SUM(C42:C44)</f>
        <v>4458244</v>
      </c>
      <c r="D45" s="195">
        <f>SUM(D42:D44)</f>
        <v>123615205</v>
      </c>
      <c r="E45" s="196">
        <f>+D45/C45</f>
        <v>27.727330536417476</v>
      </c>
      <c r="F45" s="195">
        <f>SUM(F42:F44)</f>
        <v>5799915</v>
      </c>
      <c r="G45" s="186">
        <f>+F45/C45</f>
        <v>1.3009415814836514</v>
      </c>
      <c r="H45" s="195">
        <f>SUM(H42:H44)</f>
        <v>38904</v>
      </c>
      <c r="I45" s="214">
        <f>+H45/C45</f>
        <v>8.7263056934523998E-3</v>
      </c>
      <c r="J45" s="195">
        <f>SUM(J42:J44)</f>
        <v>129454024</v>
      </c>
      <c r="K45" s="196">
        <f>+J45/C45</f>
        <v>29.036998423594582</v>
      </c>
    </row>
    <row r="46" spans="2:11" ht="5.0999999999999996" customHeight="1" x14ac:dyDescent="0.25">
      <c r="B46" s="554"/>
      <c r="C46" s="189"/>
      <c r="D46" s="190"/>
      <c r="E46" s="198"/>
      <c r="F46" s="190"/>
      <c r="G46" s="198"/>
      <c r="H46" s="199"/>
      <c r="I46" s="198"/>
      <c r="J46" s="199"/>
      <c r="K46" s="191"/>
    </row>
    <row r="47" spans="2:11" ht="15" customHeight="1" x14ac:dyDescent="0.25">
      <c r="B47" s="554" t="s">
        <v>95</v>
      </c>
      <c r="C47" s="189">
        <v>1865805</v>
      </c>
      <c r="D47" s="190">
        <v>55003762</v>
      </c>
      <c r="E47" s="191">
        <f>+D47/C47</f>
        <v>29.479909208089804</v>
      </c>
      <c r="F47" s="190">
        <v>2342924</v>
      </c>
      <c r="G47" s="186">
        <f>+F47/C47</f>
        <v>1.2557175053127203</v>
      </c>
      <c r="H47" s="190">
        <v>17242</v>
      </c>
      <c r="I47" s="188">
        <f>+H47/C47</f>
        <v>9.241051449642379E-3</v>
      </c>
      <c r="J47" s="187">
        <f>+D47+F47+H47</f>
        <v>57363928</v>
      </c>
      <c r="K47" s="191">
        <f>+J47/C47</f>
        <v>30.744867764852167</v>
      </c>
    </row>
    <row r="48" spans="2:11" ht="15" customHeight="1" x14ac:dyDescent="0.25">
      <c r="B48" s="554" t="s">
        <v>96</v>
      </c>
      <c r="C48" s="189">
        <v>1799496</v>
      </c>
      <c r="D48" s="190">
        <v>55210451</v>
      </c>
      <c r="E48" s="191">
        <f>+D48/C48</f>
        <v>30.681063475550932</v>
      </c>
      <c r="F48" s="190">
        <v>2698067</v>
      </c>
      <c r="G48" s="186">
        <f>+F48/C48</f>
        <v>1.4993459279709429</v>
      </c>
      <c r="H48" s="190">
        <v>17409</v>
      </c>
      <c r="I48" s="188">
        <v>0</v>
      </c>
      <c r="J48" s="187">
        <f>+D48+F48+H48</f>
        <v>57925927</v>
      </c>
      <c r="K48" s="191">
        <v>0</v>
      </c>
    </row>
    <row r="49" spans="2:11" ht="15" customHeight="1" x14ac:dyDescent="0.25">
      <c r="B49" s="554" t="s">
        <v>97</v>
      </c>
      <c r="C49" s="189">
        <v>768177</v>
      </c>
      <c r="D49" s="190">
        <v>16343628</v>
      </c>
      <c r="E49" s="191">
        <f>+D49/C49</f>
        <v>21.275862203632755</v>
      </c>
      <c r="F49" s="190">
        <v>1049091</v>
      </c>
      <c r="G49" s="186">
        <f>+F49/C49</f>
        <v>1.3656891575769647</v>
      </c>
      <c r="H49" s="190">
        <v>5228</v>
      </c>
      <c r="I49" s="188">
        <f>+H49/C49</f>
        <v>6.805723160157099E-3</v>
      </c>
      <c r="J49" s="187">
        <f>+D49+F49+H49</f>
        <v>17397947</v>
      </c>
      <c r="K49" s="191">
        <f>+J49/C49</f>
        <v>22.648357084369877</v>
      </c>
    </row>
    <row r="50" spans="2:11" ht="15" customHeight="1" thickBot="1" x14ac:dyDescent="0.3">
      <c r="B50" s="556" t="s">
        <v>118</v>
      </c>
      <c r="C50" s="200">
        <f>SUM(C47:C49)</f>
        <v>4433478</v>
      </c>
      <c r="D50" s="200">
        <f>SUM(D47:D49)</f>
        <v>126557841</v>
      </c>
      <c r="E50" s="202">
        <f>+D50/C50</f>
        <v>28.545949929152687</v>
      </c>
      <c r="F50" s="201">
        <f>SUM(F47:F49)</f>
        <v>6090082</v>
      </c>
      <c r="G50" s="213">
        <f>+F50/C50</f>
        <v>1.3736578821412895</v>
      </c>
      <c r="H50" s="201">
        <f>SUM(H47:H49)</f>
        <v>39879</v>
      </c>
      <c r="I50" s="214">
        <f>+H50/C50</f>
        <v>8.9949696378328701E-3</v>
      </c>
      <c r="J50" s="201">
        <f>SUM(J47:J49)</f>
        <v>132687802</v>
      </c>
      <c r="K50" s="202">
        <f>+J50/C50</f>
        <v>29.928602780931811</v>
      </c>
    </row>
    <row r="51" spans="2:11" ht="24.9" customHeight="1" thickBot="1" x14ac:dyDescent="0.3">
      <c r="B51" s="557" t="s">
        <v>119</v>
      </c>
      <c r="C51" s="204">
        <f>+C35+C40+C45+C50</f>
        <v>16192739</v>
      </c>
      <c r="D51" s="205">
        <f>+D35+D40+D45+D50</f>
        <v>439102567</v>
      </c>
      <c r="E51" s="206">
        <f>+D51/C51</f>
        <v>27.1172509480947</v>
      </c>
      <c r="F51" s="205">
        <f>+F35+F40+F45+F50</f>
        <v>19255753</v>
      </c>
      <c r="G51" s="208">
        <f>+F51/C51</f>
        <v>1.1891597215270375</v>
      </c>
      <c r="H51" s="205">
        <f>+H35+H40+H45+H50</f>
        <v>137615</v>
      </c>
      <c r="I51" s="209">
        <f>+H51/C51</f>
        <v>8.4985622259458396E-3</v>
      </c>
      <c r="J51" s="205">
        <f>+J35+J40+J45+J50</f>
        <v>458495935</v>
      </c>
      <c r="K51" s="208">
        <f>+J51/C51</f>
        <v>28.314909231847682</v>
      </c>
    </row>
    <row r="52" spans="2:11" ht="15" customHeight="1" thickBot="1" x14ac:dyDescent="0.3"/>
    <row r="53" spans="2:11" ht="24.9" customHeight="1" thickBot="1" x14ac:dyDescent="0.3">
      <c r="B53" s="919" t="s">
        <v>151</v>
      </c>
      <c r="C53" s="920"/>
      <c r="D53" s="920"/>
      <c r="E53" s="920"/>
      <c r="F53" s="920"/>
      <c r="G53" s="920"/>
      <c r="H53" s="920"/>
      <c r="I53" s="920"/>
      <c r="J53" s="920"/>
      <c r="K53" s="921"/>
    </row>
    <row r="54" spans="2:11" ht="15" customHeight="1" x14ac:dyDescent="0.25">
      <c r="B54" s="922" t="s">
        <v>100</v>
      </c>
      <c r="C54" s="924" t="s">
        <v>25</v>
      </c>
      <c r="D54" s="916" t="s">
        <v>110</v>
      </c>
      <c r="E54" s="917"/>
      <c r="F54" s="918" t="s">
        <v>113</v>
      </c>
      <c r="G54" s="917"/>
      <c r="H54" s="918" t="s">
        <v>111</v>
      </c>
      <c r="I54" s="918"/>
      <c r="J54" s="916" t="s">
        <v>112</v>
      </c>
      <c r="K54" s="917"/>
    </row>
    <row r="55" spans="2:11" ht="15" customHeight="1" thickBot="1" x14ac:dyDescent="0.3">
      <c r="B55" s="923"/>
      <c r="C55" s="925"/>
      <c r="D55" s="551" t="s">
        <v>78</v>
      </c>
      <c r="E55" s="552" t="s">
        <v>114</v>
      </c>
      <c r="F55" s="551" t="s">
        <v>78</v>
      </c>
      <c r="G55" s="552" t="s">
        <v>114</v>
      </c>
      <c r="H55" s="551" t="s">
        <v>78</v>
      </c>
      <c r="I55" s="552" t="s">
        <v>114</v>
      </c>
      <c r="J55" s="551" t="s">
        <v>78</v>
      </c>
      <c r="K55" s="552" t="s">
        <v>114</v>
      </c>
    </row>
    <row r="56" spans="2:11" ht="15" customHeight="1" x14ac:dyDescent="0.25">
      <c r="B56" s="553" t="s">
        <v>86</v>
      </c>
      <c r="C56" s="184">
        <v>1451917</v>
      </c>
      <c r="D56" s="185">
        <v>29367862</v>
      </c>
      <c r="E56" s="186">
        <f>+D56/C56</f>
        <v>20.226956499579522</v>
      </c>
      <c r="F56" s="185">
        <f>+D56+H56+J56</f>
        <v>31597158</v>
      </c>
      <c r="G56" s="186">
        <f>+F56/C56</f>
        <v>21.762372091517626</v>
      </c>
      <c r="H56" s="185">
        <v>2220548</v>
      </c>
      <c r="I56" s="186">
        <f>+H56/C56</f>
        <v>1.5293904541375298</v>
      </c>
      <c r="J56" s="187">
        <v>8748</v>
      </c>
      <c r="K56" s="188">
        <f>+J56/C56</f>
        <v>6.0251378005767549E-3</v>
      </c>
    </row>
    <row r="57" spans="2:11" ht="15" customHeight="1" x14ac:dyDescent="0.25">
      <c r="B57" s="554" t="s">
        <v>87</v>
      </c>
      <c r="C57" s="189">
        <v>1616905</v>
      </c>
      <c r="D57" s="190">
        <v>37948984</v>
      </c>
      <c r="E57" s="191">
        <f>+D57/C57</f>
        <v>23.470138319814708</v>
      </c>
      <c r="F57" s="190">
        <f>+D57+H57+J57</f>
        <v>40688829</v>
      </c>
      <c r="G57" s="191">
        <f>+F57/C57</f>
        <v>25.164637996666471</v>
      </c>
      <c r="H57" s="190">
        <v>2727617</v>
      </c>
      <c r="I57" s="191">
        <f>+H57/C57</f>
        <v>1.6869370804097952</v>
      </c>
      <c r="J57" s="192">
        <v>12228</v>
      </c>
      <c r="K57" s="193">
        <f>+J57/C57</f>
        <v>7.5625964419678334E-3</v>
      </c>
    </row>
    <row r="58" spans="2:11" ht="15" customHeight="1" x14ac:dyDescent="0.25">
      <c r="B58" s="554" t="s">
        <v>88</v>
      </c>
      <c r="C58" s="189">
        <v>1596061</v>
      </c>
      <c r="D58" s="190">
        <v>32492018</v>
      </c>
      <c r="E58" s="191">
        <f>+D58/C58</f>
        <v>20.357629188358089</v>
      </c>
      <c r="F58" s="190">
        <f>+D58+H58+J58</f>
        <v>34924268</v>
      </c>
      <c r="G58" s="191">
        <f>+F58/C58</f>
        <v>21.88153710917064</v>
      </c>
      <c r="H58" s="190">
        <v>2421754</v>
      </c>
      <c r="I58" s="191">
        <f>+H58/C58</f>
        <v>1.517331731055392</v>
      </c>
      <c r="J58" s="192">
        <v>10496</v>
      </c>
      <c r="K58" s="193">
        <f>+J58/C58</f>
        <v>6.5761897571584042E-3</v>
      </c>
    </row>
    <row r="59" spans="2:11" ht="15" customHeight="1" x14ac:dyDescent="0.25">
      <c r="B59" s="555" t="s">
        <v>115</v>
      </c>
      <c r="C59" s="194">
        <f>SUM(C56:C58)</f>
        <v>4664883</v>
      </c>
      <c r="D59" s="195">
        <f>SUM(D56:D58)</f>
        <v>99808864</v>
      </c>
      <c r="E59" s="196">
        <f>+D59/C59</f>
        <v>21.395791491447909</v>
      </c>
      <c r="F59" s="195">
        <f>+D59+H59+J59</f>
        <v>107210255</v>
      </c>
      <c r="G59" s="196">
        <f>+F59/C59</f>
        <v>22.982410276956571</v>
      </c>
      <c r="H59" s="195">
        <f>SUM(H56:H58)</f>
        <v>7369919</v>
      </c>
      <c r="I59" s="196">
        <f>+H59/C59</f>
        <v>1.5798722068699258</v>
      </c>
      <c r="J59" s="195">
        <f>SUM(J56:J58)</f>
        <v>31472</v>
      </c>
      <c r="K59" s="197">
        <f>+J59/C59</f>
        <v>6.7465786387354192E-3</v>
      </c>
    </row>
    <row r="60" spans="2:11" ht="5.0999999999999996" customHeight="1" x14ac:dyDescent="0.25">
      <c r="B60" s="554"/>
      <c r="C60" s="189"/>
      <c r="D60" s="190"/>
      <c r="E60" s="198"/>
      <c r="F60" s="199"/>
      <c r="G60" s="198"/>
      <c r="H60" s="190"/>
      <c r="I60" s="198"/>
      <c r="J60" s="199"/>
      <c r="K60" s="198"/>
    </row>
    <row r="61" spans="2:11" ht="15" customHeight="1" x14ac:dyDescent="0.25">
      <c r="B61" s="554" t="s">
        <v>89</v>
      </c>
      <c r="C61" s="189">
        <v>1510358</v>
      </c>
      <c r="D61" s="190">
        <v>32385687</v>
      </c>
      <c r="E61" s="191">
        <f>+D61/C61</f>
        <v>21.442391141702828</v>
      </c>
      <c r="F61" s="190">
        <f>+D61+H61+J61</f>
        <v>34653573</v>
      </c>
      <c r="G61" s="191">
        <f>+F61/C61</f>
        <v>22.943946402111287</v>
      </c>
      <c r="H61" s="190">
        <v>2257473</v>
      </c>
      <c r="I61" s="191">
        <f>+H61/C61</f>
        <v>1.4946608684828364</v>
      </c>
      <c r="J61" s="190">
        <v>10413</v>
      </c>
      <c r="K61" s="193">
        <f>+J61/C61</f>
        <v>6.8943919256229322E-3</v>
      </c>
    </row>
    <row r="62" spans="2:11" ht="15" customHeight="1" x14ac:dyDescent="0.25">
      <c r="B62" s="554" t="s">
        <v>90</v>
      </c>
      <c r="C62" s="189">
        <v>2188895</v>
      </c>
      <c r="D62" s="190">
        <v>49847134</v>
      </c>
      <c r="E62" s="191">
        <f>+D62/C62</f>
        <v>22.772738756313117</v>
      </c>
      <c r="F62" s="190">
        <f>+D62+H62+J62</f>
        <v>52545886</v>
      </c>
      <c r="G62" s="191">
        <f>+F62/C62</f>
        <v>24.005667699912514</v>
      </c>
      <c r="H62" s="190">
        <v>2682920</v>
      </c>
      <c r="I62" s="191">
        <f>+H62/C62</f>
        <v>1.2256960703916817</v>
      </c>
      <c r="J62" s="190">
        <v>15832</v>
      </c>
      <c r="K62" s="193">
        <f>+J62/C62</f>
        <v>7.2328732077143951E-3</v>
      </c>
    </row>
    <row r="63" spans="2:11" ht="15" customHeight="1" x14ac:dyDescent="0.25">
      <c r="B63" s="554" t="s">
        <v>91</v>
      </c>
      <c r="C63" s="189">
        <v>2167539</v>
      </c>
      <c r="D63" s="190">
        <v>51605188</v>
      </c>
      <c r="E63" s="191">
        <f>+D63/C63</f>
        <v>23.808193531927223</v>
      </c>
      <c r="F63" s="190">
        <f>+D63+H63+J63</f>
        <v>54002954</v>
      </c>
      <c r="G63" s="191">
        <f>+F63/C63</f>
        <v>24.914409383176036</v>
      </c>
      <c r="H63" s="190">
        <v>2381537</v>
      </c>
      <c r="I63" s="191">
        <f>+H63/C63</f>
        <v>1.0987285580559334</v>
      </c>
      <c r="J63" s="190">
        <v>16229</v>
      </c>
      <c r="K63" s="193">
        <f>+J63/C63</f>
        <v>7.4872931928791128E-3</v>
      </c>
    </row>
    <row r="64" spans="2:11" ht="15" customHeight="1" x14ac:dyDescent="0.25">
      <c r="B64" s="555" t="s">
        <v>116</v>
      </c>
      <c r="C64" s="194">
        <f>SUM(C61:C63)</f>
        <v>5866792</v>
      </c>
      <c r="D64" s="195">
        <f>SUM(D61:D63)</f>
        <v>133838009</v>
      </c>
      <c r="E64" s="196">
        <f>+D64/C64</f>
        <v>22.812809624067121</v>
      </c>
      <c r="F64" s="195">
        <f>+D64+H64+J64</f>
        <v>141202413</v>
      </c>
      <c r="G64" s="196">
        <f>+F64/C64</f>
        <v>24.068078943313484</v>
      </c>
      <c r="H64" s="195">
        <f>SUM(H61:H63)</f>
        <v>7321930</v>
      </c>
      <c r="I64" s="196">
        <f>+H64/C64</f>
        <v>1.2480295875497205</v>
      </c>
      <c r="J64" s="195">
        <f>SUM(J61:J63)</f>
        <v>42474</v>
      </c>
      <c r="K64" s="197">
        <f>+J64/C64</f>
        <v>7.2397316966410262E-3</v>
      </c>
    </row>
    <row r="65" spans="2:11" ht="5.0999999999999996" customHeight="1" x14ac:dyDescent="0.25">
      <c r="B65" s="554"/>
      <c r="C65" s="189"/>
      <c r="D65" s="190"/>
      <c r="E65" s="198"/>
      <c r="F65" s="199"/>
      <c r="G65" s="198"/>
      <c r="H65" s="190"/>
      <c r="I65" s="198"/>
      <c r="J65" s="199"/>
      <c r="K65" s="198"/>
    </row>
    <row r="66" spans="2:11" ht="15" customHeight="1" x14ac:dyDescent="0.25">
      <c r="B66" s="554" t="s">
        <v>93</v>
      </c>
      <c r="C66" s="189">
        <v>1851255</v>
      </c>
      <c r="D66" s="190">
        <v>41114718</v>
      </c>
      <c r="E66" s="191">
        <f>+D66/C66</f>
        <v>22.209105714771869</v>
      </c>
      <c r="F66" s="190">
        <f>+D66+H66+J66</f>
        <v>42842905</v>
      </c>
      <c r="G66" s="191">
        <f>+F66/C66</f>
        <v>23.142627568865446</v>
      </c>
      <c r="H66" s="190">
        <v>1715312</v>
      </c>
      <c r="I66" s="191">
        <f>+H66/C66</f>
        <v>0.92656711258038471</v>
      </c>
      <c r="J66" s="190">
        <v>12875</v>
      </c>
      <c r="K66" s="193">
        <f>+J66/C66</f>
        <v>6.9547415131897012E-3</v>
      </c>
    </row>
    <row r="67" spans="2:11" ht="15" customHeight="1" x14ac:dyDescent="0.25">
      <c r="B67" s="554" t="s">
        <v>94</v>
      </c>
      <c r="C67" s="189">
        <v>1910032</v>
      </c>
      <c r="D67" s="190">
        <v>46243979</v>
      </c>
      <c r="E67" s="191">
        <f>+D67/C67</f>
        <v>24.211101698819707</v>
      </c>
      <c r="F67" s="190">
        <f>+D67+H67+J67</f>
        <v>47858642</v>
      </c>
      <c r="G67" s="191">
        <f>+F67/C67</f>
        <v>25.056460834164035</v>
      </c>
      <c r="H67" s="190">
        <v>1600281</v>
      </c>
      <c r="I67" s="191">
        <f>+H67/C67</f>
        <v>0.83782941856471516</v>
      </c>
      <c r="J67" s="190">
        <v>14382</v>
      </c>
      <c r="K67" s="193">
        <f>+J67/C67</f>
        <v>7.5297167796141637E-3</v>
      </c>
    </row>
    <row r="68" spans="2:11" ht="15" customHeight="1" x14ac:dyDescent="0.25">
      <c r="B68" s="554" t="s">
        <v>101</v>
      </c>
      <c r="C68" s="189">
        <v>1509961</v>
      </c>
      <c r="D68" s="190">
        <v>30998907</v>
      </c>
      <c r="E68" s="191">
        <f>+D68/C68</f>
        <v>20.529607718345044</v>
      </c>
      <c r="F68" s="190">
        <f>+D68+H68+J68</f>
        <v>32744645</v>
      </c>
      <c r="G68" s="191">
        <f>+F68/C68</f>
        <v>21.685755459909231</v>
      </c>
      <c r="H68" s="190">
        <v>1735898</v>
      </c>
      <c r="I68" s="191">
        <f>+H68/C68</f>
        <v>1.1496310169600408</v>
      </c>
      <c r="J68" s="190">
        <v>9840</v>
      </c>
      <c r="K68" s="193">
        <f>+J68/C68</f>
        <v>6.5167246041454054E-3</v>
      </c>
    </row>
    <row r="69" spans="2:11" ht="15" customHeight="1" x14ac:dyDescent="0.25">
      <c r="B69" s="555" t="s">
        <v>117</v>
      </c>
      <c r="C69" s="194">
        <f>SUM(C66:C68)</f>
        <v>5271248</v>
      </c>
      <c r="D69" s="195">
        <f>SUM(D66:D68)</f>
        <v>118357604</v>
      </c>
      <c r="E69" s="196">
        <f>+D69/C69</f>
        <v>22.453431141923126</v>
      </c>
      <c r="F69" s="195">
        <f>+D69+H69+J69</f>
        <v>123446192</v>
      </c>
      <c r="G69" s="196">
        <f>+F69/C69</f>
        <v>23.418779006413661</v>
      </c>
      <c r="H69" s="195">
        <f>SUM(H66:H68)</f>
        <v>5051491</v>
      </c>
      <c r="I69" s="196">
        <f>+H69/C69</f>
        <v>0.95831025214522259</v>
      </c>
      <c r="J69" s="195">
        <f>SUM(J66:J68)</f>
        <v>37097</v>
      </c>
      <c r="K69" s="197">
        <f>+J69/C69</f>
        <v>7.0376123453117743E-3</v>
      </c>
    </row>
    <row r="70" spans="2:11" ht="5.0999999999999996" customHeight="1" x14ac:dyDescent="0.25">
      <c r="B70" s="554"/>
      <c r="C70" s="189"/>
      <c r="D70" s="190"/>
      <c r="E70" s="198"/>
      <c r="F70" s="199"/>
      <c r="G70" s="198"/>
      <c r="H70" s="190"/>
      <c r="I70" s="198"/>
      <c r="J70" s="199"/>
      <c r="K70" s="198"/>
    </row>
    <row r="71" spans="2:11" ht="15" customHeight="1" x14ac:dyDescent="0.25">
      <c r="B71" s="554" t="s">
        <v>95</v>
      </c>
      <c r="C71" s="189">
        <v>1858106</v>
      </c>
      <c r="D71" s="190">
        <v>37335963</v>
      </c>
      <c r="E71" s="191">
        <f>+D71/C71</f>
        <v>20.093559247965402</v>
      </c>
      <c r="F71" s="190">
        <f>+D71+H71+J71</f>
        <v>39026839</v>
      </c>
      <c r="G71" s="191">
        <f>+F71/C71</f>
        <v>21.003559000401484</v>
      </c>
      <c r="H71" s="190">
        <v>1679148</v>
      </c>
      <c r="I71" s="191">
        <f>+H71/C71</f>
        <v>0.90368794891141835</v>
      </c>
      <c r="J71" s="190">
        <v>11728</v>
      </c>
      <c r="K71" s="193">
        <f>+J71/C71</f>
        <v>6.3118035246643627E-3</v>
      </c>
    </row>
    <row r="72" spans="2:11" ht="15" customHeight="1" x14ac:dyDescent="0.25">
      <c r="B72" s="554" t="s">
        <v>96</v>
      </c>
      <c r="C72" s="189">
        <v>1497452</v>
      </c>
      <c r="D72" s="190">
        <v>21162371</v>
      </c>
      <c r="E72" s="191">
        <f>+D72/C72</f>
        <v>14.132253320974563</v>
      </c>
      <c r="F72" s="190">
        <f>+D72+H72+J72</f>
        <v>23030491</v>
      </c>
      <c r="G72" s="191">
        <f>+F72/C72</f>
        <v>15.379785796139041</v>
      </c>
      <c r="H72" s="190">
        <v>1861199</v>
      </c>
      <c r="I72" s="191">
        <f>+H72/C72</f>
        <v>1.2429106241802743</v>
      </c>
      <c r="J72" s="190">
        <v>6921</v>
      </c>
      <c r="K72" s="193">
        <f>+J72/C72</f>
        <v>4.6218509842051699E-3</v>
      </c>
    </row>
    <row r="73" spans="2:11" ht="15" customHeight="1" x14ac:dyDescent="0.25">
      <c r="B73" s="554" t="s">
        <v>97</v>
      </c>
      <c r="C73" s="189">
        <v>1462827</v>
      </c>
      <c r="D73" s="190">
        <v>21394813</v>
      </c>
      <c r="E73" s="191">
        <f>+D73/C73</f>
        <v>14.625661817836285</v>
      </c>
      <c r="F73" s="190">
        <f>+D73+H73+J73</f>
        <v>22443466</v>
      </c>
      <c r="G73" s="191">
        <f>+F73/C73</f>
        <v>15.342529225944011</v>
      </c>
      <c r="H73" s="190">
        <v>1041908</v>
      </c>
      <c r="I73" s="191">
        <f>+H73/C73</f>
        <v>0.71225647325350161</v>
      </c>
      <c r="J73" s="190">
        <v>6745</v>
      </c>
      <c r="K73" s="193">
        <f>+J73/C73</f>
        <v>4.6109348542240471E-3</v>
      </c>
    </row>
    <row r="74" spans="2:11" ht="15" customHeight="1" thickBot="1" x14ac:dyDescent="0.3">
      <c r="B74" s="556" t="s">
        <v>118</v>
      </c>
      <c r="C74" s="200">
        <f>SUM(C71:C73)</f>
        <v>4818385</v>
      </c>
      <c r="D74" s="201">
        <f>SUM(D71:D73)</f>
        <v>79893147</v>
      </c>
      <c r="E74" s="202">
        <f>+D74/C74</f>
        <v>16.580897333857713</v>
      </c>
      <c r="F74" s="201">
        <f>+D74+H74+J74</f>
        <v>84500796</v>
      </c>
      <c r="G74" s="202">
        <f>+F74/C74</f>
        <v>17.537161517811466</v>
      </c>
      <c r="H74" s="201">
        <f>SUM(H71:H73)</f>
        <v>4582255</v>
      </c>
      <c r="I74" s="202">
        <f>+H74/C74</f>
        <v>0.95099395336819292</v>
      </c>
      <c r="J74" s="201">
        <f>SUM(J71:J73)</f>
        <v>25394</v>
      </c>
      <c r="K74" s="203">
        <f>+J74/C74</f>
        <v>5.2702305855592694E-3</v>
      </c>
    </row>
    <row r="75" spans="2:11" ht="24.9" customHeight="1" thickBot="1" x14ac:dyDescent="0.3">
      <c r="B75" s="557" t="s">
        <v>119</v>
      </c>
      <c r="C75" s="204">
        <f>+C59+C64+C69+C74</f>
        <v>20621308</v>
      </c>
      <c r="D75" s="205">
        <f>+D59+D64+D69+D74</f>
        <v>431897624</v>
      </c>
      <c r="E75" s="206">
        <f>+D75/C75</f>
        <v>20.944240006502014</v>
      </c>
      <c r="F75" s="207">
        <f>+D75+H75+J75</f>
        <v>456359656</v>
      </c>
      <c r="G75" s="208">
        <f>+F75/C75</f>
        <v>22.130490267639665</v>
      </c>
      <c r="H75" s="205">
        <f>+H59+H64+H69+H74</f>
        <v>24325595</v>
      </c>
      <c r="I75" s="208">
        <f>+H75/C75</f>
        <v>1.1796339495050459</v>
      </c>
      <c r="J75" s="205">
        <f>+J59+J64+J69+J74</f>
        <v>136437</v>
      </c>
      <c r="K75" s="209">
        <f>+J75/C75</f>
        <v>6.6163116326083682E-3</v>
      </c>
    </row>
    <row r="76" spans="2:11" s="14" customFormat="1" ht="15" customHeight="1" x14ac:dyDescent="0.25">
      <c r="B76" s="210" t="s">
        <v>153</v>
      </c>
    </row>
  </sheetData>
  <mergeCells count="24">
    <mergeCell ref="F54:G54"/>
    <mergeCell ref="B1:K1"/>
    <mergeCell ref="B2:K2"/>
    <mergeCell ref="B3:K3"/>
    <mergeCell ref="B5:K5"/>
    <mergeCell ref="D6:E6"/>
    <mergeCell ref="B6:B7"/>
    <mergeCell ref="C6:C7"/>
    <mergeCell ref="J54:K54"/>
    <mergeCell ref="H6:I6"/>
    <mergeCell ref="J6:K6"/>
    <mergeCell ref="F6:G6"/>
    <mergeCell ref="J30:K30"/>
    <mergeCell ref="B29:K29"/>
    <mergeCell ref="B53:K53"/>
    <mergeCell ref="C30:C31"/>
    <mergeCell ref="D30:E30"/>
    <mergeCell ref="H30:I30"/>
    <mergeCell ref="B30:B31"/>
    <mergeCell ref="C54:C55"/>
    <mergeCell ref="F30:G30"/>
    <mergeCell ref="H54:I54"/>
    <mergeCell ref="D54:E54"/>
    <mergeCell ref="B54:B55"/>
  </mergeCells>
  <phoneticPr fontId="10" type="noConversion"/>
  <pageMargins left="0.75" right="0.75" top="1" bottom="1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K30"/>
  <sheetViews>
    <sheetView workbookViewId="0">
      <selection activeCell="G39" sqref="G39"/>
    </sheetView>
  </sheetViews>
  <sheetFormatPr baseColWidth="10" defaultColWidth="11.44140625" defaultRowHeight="15" x14ac:dyDescent="0.25"/>
  <cols>
    <col min="1" max="1" width="2.6640625" style="13" customWidth="1"/>
    <col min="2" max="4" width="15.6640625" style="13" customWidth="1"/>
    <col min="5" max="5" width="10.6640625" style="13" customWidth="1"/>
    <col min="6" max="6" width="15.6640625" style="13" customWidth="1"/>
    <col min="7" max="7" width="10.6640625" style="13" customWidth="1"/>
    <col min="8" max="8" width="15.6640625" style="13" customWidth="1"/>
    <col min="9" max="9" width="10.6640625" style="13" customWidth="1"/>
    <col min="10" max="10" width="15.6640625" style="13" customWidth="1"/>
    <col min="11" max="11" width="10.6640625" style="13" customWidth="1"/>
    <col min="12" max="16384" width="11.44140625" style="13"/>
  </cols>
  <sheetData>
    <row r="1" spans="2:11" ht="15" customHeight="1" x14ac:dyDescent="0.25">
      <c r="B1" s="864" t="s">
        <v>163</v>
      </c>
      <c r="C1" s="864"/>
      <c r="D1" s="864"/>
      <c r="E1" s="864"/>
      <c r="F1" s="864"/>
      <c r="G1" s="864"/>
      <c r="H1" s="864"/>
      <c r="I1" s="864"/>
      <c r="J1" s="864"/>
      <c r="K1" s="864"/>
    </row>
    <row r="2" spans="2:11" ht="15" customHeight="1" x14ac:dyDescent="0.25">
      <c r="B2" s="864" t="s">
        <v>24</v>
      </c>
      <c r="C2" s="864"/>
      <c r="D2" s="864"/>
      <c r="E2" s="864"/>
      <c r="F2" s="864"/>
      <c r="G2" s="864"/>
      <c r="H2" s="864"/>
      <c r="I2" s="864"/>
      <c r="J2" s="864"/>
      <c r="K2" s="864"/>
    </row>
    <row r="3" spans="2:11" ht="15" customHeight="1" x14ac:dyDescent="0.25">
      <c r="B3" s="864" t="s">
        <v>155</v>
      </c>
      <c r="C3" s="864"/>
      <c r="D3" s="864"/>
      <c r="E3" s="864"/>
      <c r="F3" s="864"/>
      <c r="G3" s="864"/>
      <c r="H3" s="864"/>
      <c r="I3" s="864"/>
      <c r="J3" s="864"/>
      <c r="K3" s="864"/>
    </row>
    <row r="4" spans="2:11" ht="15" customHeight="1" thickBot="1" x14ac:dyDescent="0.3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24.9" customHeight="1" thickBot="1" x14ac:dyDescent="0.3">
      <c r="B5" s="919" t="s">
        <v>152</v>
      </c>
      <c r="C5" s="920"/>
      <c r="D5" s="920"/>
      <c r="E5" s="920"/>
      <c r="F5" s="920"/>
      <c r="G5" s="920"/>
      <c r="H5" s="920"/>
      <c r="I5" s="920"/>
      <c r="J5" s="920"/>
      <c r="K5" s="921"/>
    </row>
    <row r="6" spans="2:11" ht="15" customHeight="1" x14ac:dyDescent="0.25">
      <c r="B6" s="922" t="s">
        <v>100</v>
      </c>
      <c r="C6" s="924" t="s">
        <v>25</v>
      </c>
      <c r="D6" s="916" t="s">
        <v>110</v>
      </c>
      <c r="E6" s="917"/>
      <c r="F6" s="918" t="s">
        <v>113</v>
      </c>
      <c r="G6" s="917"/>
      <c r="H6" s="918" t="s">
        <v>111</v>
      </c>
      <c r="I6" s="918"/>
      <c r="J6" s="916" t="s">
        <v>112</v>
      </c>
      <c r="K6" s="917"/>
    </row>
    <row r="7" spans="2:11" ht="15" customHeight="1" thickBot="1" x14ac:dyDescent="0.3">
      <c r="B7" s="923"/>
      <c r="C7" s="925"/>
      <c r="D7" s="551" t="s">
        <v>78</v>
      </c>
      <c r="E7" s="552" t="s">
        <v>114</v>
      </c>
      <c r="F7" s="551" t="s">
        <v>78</v>
      </c>
      <c r="G7" s="552" t="s">
        <v>114</v>
      </c>
      <c r="H7" s="551" t="s">
        <v>78</v>
      </c>
      <c r="I7" s="552" t="s">
        <v>114</v>
      </c>
      <c r="J7" s="551" t="s">
        <v>78</v>
      </c>
      <c r="K7" s="552" t="s">
        <v>114</v>
      </c>
    </row>
    <row r="8" spans="2:11" ht="15" customHeight="1" x14ac:dyDescent="0.25">
      <c r="B8" s="553" t="s">
        <v>86</v>
      </c>
      <c r="C8" s="184">
        <v>1077911</v>
      </c>
      <c r="D8" s="185">
        <v>16552373</v>
      </c>
      <c r="E8" s="186">
        <f>+D8/C8</f>
        <v>15.355973730669787</v>
      </c>
      <c r="F8" s="185">
        <f>+D8+H8+J8</f>
        <v>17616430</v>
      </c>
      <c r="G8" s="186">
        <f>+F8/C8</f>
        <v>16.343121092557734</v>
      </c>
      <c r="H8" s="185">
        <v>1058763</v>
      </c>
      <c r="I8" s="186">
        <f>+H8/C8</f>
        <v>0.98223601020863505</v>
      </c>
      <c r="J8" s="187">
        <v>5294</v>
      </c>
      <c r="K8" s="188">
        <f>+J8/C8</f>
        <v>4.911351679313042E-3</v>
      </c>
    </row>
    <row r="9" spans="2:11" ht="15" customHeight="1" x14ac:dyDescent="0.25">
      <c r="B9" s="554" t="s">
        <v>87</v>
      </c>
      <c r="C9" s="189">
        <v>1098121</v>
      </c>
      <c r="D9" s="190">
        <v>19142410</v>
      </c>
      <c r="E9" s="191">
        <f>+D9/C9</f>
        <v>17.431967879678105</v>
      </c>
      <c r="F9" s="190">
        <f>+D9+H9+J9</f>
        <v>20294268</v>
      </c>
      <c r="G9" s="191">
        <f>+F9/C9</f>
        <v>18.480903288435428</v>
      </c>
      <c r="H9" s="190">
        <v>1145759</v>
      </c>
      <c r="I9" s="191">
        <f>+H9/C9</f>
        <v>1.0433813760050121</v>
      </c>
      <c r="J9" s="192">
        <v>6099</v>
      </c>
      <c r="K9" s="193">
        <f>+J9/C9</f>
        <v>5.5540327523105381E-3</v>
      </c>
    </row>
    <row r="10" spans="2:11" ht="15" customHeight="1" x14ac:dyDescent="0.25">
      <c r="B10" s="554" t="s">
        <v>88</v>
      </c>
      <c r="C10" s="189">
        <v>1941872</v>
      </c>
      <c r="D10" s="190">
        <v>40855703</v>
      </c>
      <c r="E10" s="191">
        <f>+D10/C10</f>
        <v>21.039338844166867</v>
      </c>
      <c r="F10" s="190">
        <f>+D10+H10+J10</f>
        <v>42230650</v>
      </c>
      <c r="G10" s="191">
        <f>+F10/C10</f>
        <v>21.747391177173366</v>
      </c>
      <c r="H10" s="190">
        <v>1362256</v>
      </c>
      <c r="I10" s="191">
        <f>+H10/C10</f>
        <v>0.70151688679789403</v>
      </c>
      <c r="J10" s="192">
        <v>12691</v>
      </c>
      <c r="K10" s="193">
        <f>+J10/C10</f>
        <v>6.5354462086069523E-3</v>
      </c>
    </row>
    <row r="11" spans="2:11" ht="15" customHeight="1" x14ac:dyDescent="0.25">
      <c r="B11" s="555" t="s">
        <v>115</v>
      </c>
      <c r="C11" s="194">
        <f>SUM(C8:C10)</f>
        <v>4117904</v>
      </c>
      <c r="D11" s="195">
        <f>SUM(D8:D10)</f>
        <v>76550486</v>
      </c>
      <c r="E11" s="196">
        <f>+D11/C11</f>
        <v>18.589672318733026</v>
      </c>
      <c r="F11" s="195">
        <f>+D11+H11+J11</f>
        <v>80141348</v>
      </c>
      <c r="G11" s="196">
        <f>+F11/C11</f>
        <v>19.461684390894007</v>
      </c>
      <c r="H11" s="195">
        <f>SUM(H8:H10)</f>
        <v>3566778</v>
      </c>
      <c r="I11" s="196">
        <f>+H11/C11</f>
        <v>0.86616346568545555</v>
      </c>
      <c r="J11" s="195">
        <f>SUM(J8:J10)</f>
        <v>24084</v>
      </c>
      <c r="K11" s="197">
        <f>+J11/C11</f>
        <v>5.8486064755273555E-3</v>
      </c>
    </row>
    <row r="12" spans="2:11" ht="5.0999999999999996" customHeight="1" x14ac:dyDescent="0.25">
      <c r="B12" s="554"/>
      <c r="C12" s="189"/>
      <c r="D12" s="190"/>
      <c r="E12" s="198"/>
      <c r="F12" s="199"/>
      <c r="G12" s="198"/>
      <c r="H12" s="190"/>
      <c r="I12" s="198"/>
      <c r="J12" s="199"/>
      <c r="K12" s="198"/>
    </row>
    <row r="13" spans="2:11" ht="15" customHeight="1" x14ac:dyDescent="0.25">
      <c r="B13" s="554" t="s">
        <v>89</v>
      </c>
      <c r="C13" s="189">
        <v>1505775</v>
      </c>
      <c r="D13" s="190">
        <v>35342598</v>
      </c>
      <c r="E13" s="191">
        <f>+D13/C13</f>
        <v>23.471367236140857</v>
      </c>
      <c r="F13" s="190">
        <f>+D13+H13+J13</f>
        <v>36448632</v>
      </c>
      <c r="G13" s="191">
        <f>+F13/C13</f>
        <v>24.205895303083128</v>
      </c>
      <c r="H13" s="190">
        <v>1095081</v>
      </c>
      <c r="I13" s="191">
        <f>+H13/C13</f>
        <v>0.72725407182347956</v>
      </c>
      <c r="J13" s="190">
        <v>10953</v>
      </c>
      <c r="K13" s="193">
        <f>+J13/C13</f>
        <v>7.2739951187926486E-3</v>
      </c>
    </row>
    <row r="14" spans="2:11" ht="15" customHeight="1" x14ac:dyDescent="0.25">
      <c r="B14" s="554" t="s">
        <v>90</v>
      </c>
      <c r="C14" s="189">
        <v>1507108</v>
      </c>
      <c r="D14" s="190">
        <v>36754270</v>
      </c>
      <c r="E14" s="191">
        <f>+D14/C14</f>
        <v>24.387283459446834</v>
      </c>
      <c r="F14" s="190">
        <f>+D14+H14+J14</f>
        <v>38367190</v>
      </c>
      <c r="G14" s="191">
        <f>+F14/C14</f>
        <v>25.457492097447563</v>
      </c>
      <c r="H14" s="190">
        <v>1601390</v>
      </c>
      <c r="I14" s="191">
        <f>+H14/C14</f>
        <v>1.0625582240954199</v>
      </c>
      <c r="J14" s="190">
        <v>11530</v>
      </c>
      <c r="K14" s="193">
        <f>+J14/C14</f>
        <v>7.6504139053073838E-3</v>
      </c>
    </row>
    <row r="15" spans="2:11" ht="15" customHeight="1" x14ac:dyDescent="0.25">
      <c r="B15" s="554" t="s">
        <v>91</v>
      </c>
      <c r="C15" s="189">
        <v>1880497</v>
      </c>
      <c r="D15" s="190">
        <v>44016941</v>
      </c>
      <c r="E15" s="191">
        <f>+D15/C15</f>
        <v>23.407078554233269</v>
      </c>
      <c r="F15" s="190">
        <f>+D15+H15+J15</f>
        <v>45693947</v>
      </c>
      <c r="G15" s="191">
        <f>+F15/C15</f>
        <v>24.298867267536188</v>
      </c>
      <c r="H15" s="190">
        <v>1677006</v>
      </c>
      <c r="I15" s="191">
        <f>+H15/C15</f>
        <v>0.89178871330291942</v>
      </c>
      <c r="J15" s="190">
        <v>0</v>
      </c>
      <c r="K15" s="193">
        <f>+J15/C15</f>
        <v>0</v>
      </c>
    </row>
    <row r="16" spans="2:11" ht="15" customHeight="1" x14ac:dyDescent="0.25">
      <c r="B16" s="555" t="s">
        <v>116</v>
      </c>
      <c r="C16" s="194">
        <f>SUM(C13:C15)</f>
        <v>4893380</v>
      </c>
      <c r="D16" s="195">
        <f>SUM(D13:D15)</f>
        <v>116113809</v>
      </c>
      <c r="E16" s="196">
        <f>+D16/C16</f>
        <v>23.728753744855293</v>
      </c>
      <c r="F16" s="195">
        <f>+D16+H16+J16</f>
        <v>120509769</v>
      </c>
      <c r="G16" s="196">
        <f>+F16/C16</f>
        <v>24.627102125729046</v>
      </c>
      <c r="H16" s="195">
        <f>SUM(H13:H15)</f>
        <v>4373477</v>
      </c>
      <c r="I16" s="196">
        <f>+H16/C16</f>
        <v>0.89375380616261157</v>
      </c>
      <c r="J16" s="195">
        <f>SUM(J13:J15)</f>
        <v>22483</v>
      </c>
      <c r="K16" s="197">
        <f>+J16/C16</f>
        <v>4.5945747111403572E-3</v>
      </c>
    </row>
    <row r="17" spans="2:11" ht="5.0999999999999996" customHeight="1" x14ac:dyDescent="0.25">
      <c r="B17" s="554"/>
      <c r="C17" s="189"/>
      <c r="D17" s="190"/>
      <c r="E17" s="198"/>
      <c r="F17" s="199"/>
      <c r="G17" s="198"/>
      <c r="H17" s="190"/>
      <c r="I17" s="198"/>
      <c r="J17" s="199"/>
      <c r="K17" s="198"/>
    </row>
    <row r="18" spans="2:11" ht="15" customHeight="1" x14ac:dyDescent="0.25">
      <c r="B18" s="554" t="s">
        <v>93</v>
      </c>
      <c r="C18" s="189">
        <v>831621</v>
      </c>
      <c r="D18" s="190">
        <v>20558342</v>
      </c>
      <c r="E18" s="191">
        <f>+D18/C18</f>
        <v>24.720806713635177</v>
      </c>
      <c r="F18" s="190">
        <f>+D18+H18+J18</f>
        <v>21031191</v>
      </c>
      <c r="G18" s="191">
        <f>+F18/C18</f>
        <v>25.28939384647574</v>
      </c>
      <c r="H18" s="190">
        <v>472849</v>
      </c>
      <c r="I18" s="191">
        <f>+H18/C18</f>
        <v>0.56858713284056084</v>
      </c>
      <c r="J18" s="190">
        <v>0</v>
      </c>
      <c r="K18" s="193">
        <f>+J18/C18</f>
        <v>0</v>
      </c>
    </row>
    <row r="19" spans="2:11" ht="15" customHeight="1" x14ac:dyDescent="0.25">
      <c r="B19" s="554" t="s">
        <v>94</v>
      </c>
      <c r="C19" s="189">
        <v>0</v>
      </c>
      <c r="D19" s="190">
        <v>0</v>
      </c>
      <c r="E19" s="191">
        <v>0</v>
      </c>
      <c r="F19" s="190">
        <f>+D19+H19+J19</f>
        <v>0</v>
      </c>
      <c r="G19" s="191">
        <v>0</v>
      </c>
      <c r="H19" s="190">
        <v>0</v>
      </c>
      <c r="I19" s="191">
        <v>0</v>
      </c>
      <c r="J19" s="190">
        <v>0</v>
      </c>
      <c r="K19" s="193">
        <v>0</v>
      </c>
    </row>
    <row r="20" spans="2:11" ht="15" customHeight="1" x14ac:dyDescent="0.25">
      <c r="B20" s="554" t="s">
        <v>101</v>
      </c>
      <c r="C20" s="189">
        <v>0</v>
      </c>
      <c r="D20" s="190">
        <v>0</v>
      </c>
      <c r="E20" s="191">
        <v>0</v>
      </c>
      <c r="F20" s="190">
        <f>+D20+H20+J20</f>
        <v>0</v>
      </c>
      <c r="G20" s="191">
        <v>0</v>
      </c>
      <c r="H20" s="190">
        <v>0</v>
      </c>
      <c r="I20" s="191">
        <v>0</v>
      </c>
      <c r="J20" s="190">
        <v>0</v>
      </c>
      <c r="K20" s="193">
        <v>0</v>
      </c>
    </row>
    <row r="21" spans="2:11" ht="15" customHeight="1" x14ac:dyDescent="0.25">
      <c r="B21" s="555" t="s">
        <v>117</v>
      </c>
      <c r="C21" s="194">
        <f>SUM(C18:C20)</f>
        <v>831621</v>
      </c>
      <c r="D21" s="195">
        <f>SUM(D18:D20)</f>
        <v>20558342</v>
      </c>
      <c r="E21" s="196">
        <f>+D21/C21</f>
        <v>24.720806713635177</v>
      </c>
      <c r="F21" s="195">
        <f>+D21+H21+J21</f>
        <v>21031191</v>
      </c>
      <c r="G21" s="196">
        <f>+F21/C21</f>
        <v>25.28939384647574</v>
      </c>
      <c r="H21" s="195">
        <f>SUM(H18:H20)</f>
        <v>472849</v>
      </c>
      <c r="I21" s="196">
        <f>+H21/C21</f>
        <v>0.56858713284056084</v>
      </c>
      <c r="J21" s="195">
        <f>SUM(J18:J20)</f>
        <v>0</v>
      </c>
      <c r="K21" s="197">
        <f>+J21/C21</f>
        <v>0</v>
      </c>
    </row>
    <row r="22" spans="2:11" ht="5.0999999999999996" customHeight="1" x14ac:dyDescent="0.25">
      <c r="B22" s="554"/>
      <c r="C22" s="189"/>
      <c r="D22" s="190"/>
      <c r="E22" s="198"/>
      <c r="F22" s="199"/>
      <c r="G22" s="198"/>
      <c r="H22" s="190"/>
      <c r="I22" s="198"/>
      <c r="J22" s="199"/>
      <c r="K22" s="198"/>
    </row>
    <row r="23" spans="2:11" ht="15" customHeight="1" x14ac:dyDescent="0.25">
      <c r="B23" s="554" t="s">
        <v>95</v>
      </c>
      <c r="C23" s="189">
        <v>0</v>
      </c>
      <c r="D23" s="190">
        <v>0</v>
      </c>
      <c r="E23" s="191">
        <v>0</v>
      </c>
      <c r="F23" s="190">
        <f>+D23+H23+J23</f>
        <v>0</v>
      </c>
      <c r="G23" s="191">
        <v>0</v>
      </c>
      <c r="H23" s="190">
        <v>0</v>
      </c>
      <c r="I23" s="191">
        <v>0</v>
      </c>
      <c r="J23" s="190">
        <v>0</v>
      </c>
      <c r="K23" s="193">
        <v>0</v>
      </c>
    </row>
    <row r="24" spans="2:11" ht="15" customHeight="1" x14ac:dyDescent="0.25">
      <c r="B24" s="554" t="s">
        <v>96</v>
      </c>
      <c r="C24" s="189">
        <v>0</v>
      </c>
      <c r="D24" s="190">
        <v>0</v>
      </c>
      <c r="E24" s="191">
        <v>0</v>
      </c>
      <c r="F24" s="190">
        <f>+D24+H24+J24</f>
        <v>0</v>
      </c>
      <c r="G24" s="191">
        <v>0</v>
      </c>
      <c r="H24" s="190">
        <v>0</v>
      </c>
      <c r="I24" s="191">
        <v>0</v>
      </c>
      <c r="J24" s="190">
        <v>0</v>
      </c>
      <c r="K24" s="193">
        <v>0</v>
      </c>
    </row>
    <row r="25" spans="2:11" ht="15" customHeight="1" x14ac:dyDescent="0.25">
      <c r="B25" s="554" t="s">
        <v>97</v>
      </c>
      <c r="C25" s="189">
        <v>0</v>
      </c>
      <c r="D25" s="190">
        <v>0</v>
      </c>
      <c r="E25" s="191">
        <v>0</v>
      </c>
      <c r="F25" s="190">
        <f>+D25+H25+J25</f>
        <v>0</v>
      </c>
      <c r="G25" s="191">
        <v>0</v>
      </c>
      <c r="H25" s="190">
        <v>0</v>
      </c>
      <c r="I25" s="191">
        <v>0</v>
      </c>
      <c r="J25" s="190">
        <v>0</v>
      </c>
      <c r="K25" s="193">
        <v>0</v>
      </c>
    </row>
    <row r="26" spans="2:11" ht="15" customHeight="1" thickBot="1" x14ac:dyDescent="0.3">
      <c r="B26" s="556" t="s">
        <v>118</v>
      </c>
      <c r="C26" s="200">
        <f>SUM(C23:C25)</f>
        <v>0</v>
      </c>
      <c r="D26" s="201">
        <f>SUM(D23:D25)</f>
        <v>0</v>
      </c>
      <c r="E26" s="202">
        <v>0</v>
      </c>
      <c r="F26" s="201">
        <f>+D26+H26+J26</f>
        <v>0</v>
      </c>
      <c r="G26" s="202">
        <v>0</v>
      </c>
      <c r="H26" s="201">
        <f>SUM(H23:H25)</f>
        <v>0</v>
      </c>
      <c r="I26" s="202">
        <v>0</v>
      </c>
      <c r="J26" s="201">
        <f>SUM(J23:J25)</f>
        <v>0</v>
      </c>
      <c r="K26" s="203">
        <v>0</v>
      </c>
    </row>
    <row r="27" spans="2:11" ht="24.9" customHeight="1" thickBot="1" x14ac:dyDescent="0.3">
      <c r="B27" s="557" t="s">
        <v>119</v>
      </c>
      <c r="C27" s="204">
        <f>+C11+C16+C21+C26</f>
        <v>9842905</v>
      </c>
      <c r="D27" s="205">
        <f>+D11+D16+D21+D26</f>
        <v>213222637</v>
      </c>
      <c r="E27" s="206">
        <f>+D27/C27</f>
        <v>21.662571872836324</v>
      </c>
      <c r="F27" s="207">
        <f>+D27+H27+J27</f>
        <v>221682308</v>
      </c>
      <c r="G27" s="208">
        <f>+F27/C27</f>
        <v>22.522040799946765</v>
      </c>
      <c r="H27" s="205">
        <f>+H11+H16+H21+H26</f>
        <v>8413104</v>
      </c>
      <c r="I27" s="208">
        <f>+H27/C27</f>
        <v>0.8547379051204903</v>
      </c>
      <c r="J27" s="205">
        <f>+J11+J16+J21+J26</f>
        <v>46567</v>
      </c>
      <c r="K27" s="209">
        <f>+J27/C27</f>
        <v>4.7310219899511377E-3</v>
      </c>
    </row>
    <row r="28" spans="2:11" s="14" customFormat="1" ht="15" customHeight="1" x14ac:dyDescent="0.25">
      <c r="B28" s="210" t="s">
        <v>153</v>
      </c>
    </row>
    <row r="30" spans="2:11" ht="15.6" x14ac:dyDescent="0.25">
      <c r="B30" s="47" t="s">
        <v>259</v>
      </c>
      <c r="C30" s="47"/>
      <c r="D30" s="47"/>
      <c r="E30" s="47"/>
      <c r="F30" s="47"/>
    </row>
  </sheetData>
  <mergeCells count="10">
    <mergeCell ref="B1:K1"/>
    <mergeCell ref="B2:K2"/>
    <mergeCell ref="B3:K3"/>
    <mergeCell ref="B5:K5"/>
    <mergeCell ref="H6:I6"/>
    <mergeCell ref="J6:K6"/>
    <mergeCell ref="B6:B7"/>
    <mergeCell ref="C6:C7"/>
    <mergeCell ref="D6:E6"/>
    <mergeCell ref="F6:G6"/>
  </mergeCells>
  <phoneticPr fontId="10" type="noConversion"/>
  <pageMargins left="0.75" right="0.75" top="1" bottom="1" header="0" footer="0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61"/>
  <sheetViews>
    <sheetView topLeftCell="A2" workbookViewId="0">
      <pane xSplit="2" ySplit="4" topLeftCell="I6" activePane="bottomRight" state="frozen"/>
      <selection activeCell="A2" sqref="A2"/>
      <selection pane="topRight" activeCell="C2" sqref="C2"/>
      <selection pane="bottomLeft" activeCell="A6" sqref="A6"/>
      <selection pane="bottomRight" activeCell="W22" sqref="W22"/>
    </sheetView>
  </sheetViews>
  <sheetFormatPr baseColWidth="10" defaultColWidth="11.44140625" defaultRowHeight="15" customHeight="1" x14ac:dyDescent="0.25"/>
  <cols>
    <col min="1" max="1" width="2.6640625" style="13" customWidth="1"/>
    <col min="2" max="2" width="31.6640625" style="13" customWidth="1"/>
    <col min="3" max="3" width="12.44140625" style="13" customWidth="1"/>
    <col min="4" max="4" width="12.5546875" style="13" customWidth="1"/>
    <col min="5" max="6" width="12.44140625" style="13" customWidth="1"/>
    <col min="7" max="7" width="12.6640625" style="13" customWidth="1"/>
    <col min="8" max="8" width="12.44140625" style="13" customWidth="1"/>
    <col min="9" max="9" width="12.88671875" style="13" customWidth="1"/>
    <col min="10" max="12" width="12.6640625" style="13" customWidth="1"/>
    <col min="13" max="13" width="12.88671875" style="13" customWidth="1"/>
    <col min="14" max="14" width="13" style="13" customWidth="1"/>
    <col min="15" max="15" width="13.44140625" style="13" customWidth="1"/>
    <col min="16" max="16" width="12.88671875" style="13" customWidth="1"/>
    <col min="17" max="17" width="13.109375" style="13" customWidth="1"/>
    <col min="18" max="18" width="13" style="13" customWidth="1"/>
    <col min="19" max="19" width="12.6640625" style="13" customWidth="1"/>
    <col min="20" max="20" width="12.44140625" style="13" customWidth="1"/>
    <col min="21" max="21" width="12.77734375" style="13" customWidth="1"/>
    <col min="22" max="22" width="11.44140625" style="13"/>
    <col min="23" max="23" width="14.5546875" style="13" bestFit="1" customWidth="1"/>
    <col min="24" max="24" width="11.44140625" style="13"/>
    <col min="25" max="25" width="14.6640625" style="13" bestFit="1" customWidth="1"/>
    <col min="26" max="16384" width="11.44140625" style="13"/>
  </cols>
  <sheetData>
    <row r="1" spans="1:23" ht="15" customHeight="1" x14ac:dyDescent="0.25">
      <c r="A1" s="67"/>
      <c r="B1" s="864" t="s">
        <v>63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</row>
    <row r="2" spans="1:23" ht="15" customHeight="1" x14ac:dyDescent="0.25">
      <c r="B2" s="864" t="s">
        <v>268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</row>
    <row r="3" spans="1:23" ht="15" customHeight="1" x14ac:dyDescent="0.3">
      <c r="B3" s="926" t="s">
        <v>306</v>
      </c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926"/>
      <c r="T3" s="926"/>
      <c r="U3" s="926"/>
    </row>
    <row r="4" spans="1:23" ht="15" customHeight="1" x14ac:dyDescent="0.3">
      <c r="B4" s="926" t="s">
        <v>27</v>
      </c>
      <c r="C4" s="926"/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6"/>
      <c r="Q4" s="926"/>
      <c r="R4" s="926"/>
      <c r="S4" s="926"/>
      <c r="T4" s="926"/>
      <c r="U4" s="926"/>
    </row>
    <row r="5" spans="1:23" ht="15" customHeight="1" thickBot="1" x14ac:dyDescent="0.3"/>
    <row r="6" spans="1:23" ht="24.9" customHeight="1" thickBot="1" x14ac:dyDescent="0.3">
      <c r="B6" s="561" t="s">
        <v>120</v>
      </c>
      <c r="C6" s="561">
        <v>2003</v>
      </c>
      <c r="D6" s="624">
        <v>2004</v>
      </c>
      <c r="E6" s="624">
        <v>2005</v>
      </c>
      <c r="F6" s="624">
        <v>2006</v>
      </c>
      <c r="G6" s="624">
        <v>2007</v>
      </c>
      <c r="H6" s="624">
        <v>2008</v>
      </c>
      <c r="I6" s="624">
        <v>2009</v>
      </c>
      <c r="J6" s="624">
        <v>2010</v>
      </c>
      <c r="K6" s="624">
        <v>2011</v>
      </c>
      <c r="L6" s="624">
        <v>2012</v>
      </c>
      <c r="M6" s="624">
        <v>2013</v>
      </c>
      <c r="N6" s="624">
        <v>2014</v>
      </c>
      <c r="O6" s="731">
        <v>2015</v>
      </c>
      <c r="P6" s="748">
        <v>2016</v>
      </c>
      <c r="Q6" s="777">
        <v>2017</v>
      </c>
      <c r="R6" s="780">
        <v>2018</v>
      </c>
      <c r="S6" s="809">
        <v>2019</v>
      </c>
      <c r="T6" s="818">
        <v>2020</v>
      </c>
      <c r="U6" s="627">
        <v>2021</v>
      </c>
    </row>
    <row r="7" spans="1:23" ht="15" customHeight="1" x14ac:dyDescent="0.25">
      <c r="B7" s="574"/>
      <c r="C7" s="105"/>
      <c r="D7" s="33"/>
      <c r="E7" s="33"/>
      <c r="F7" s="33"/>
      <c r="G7" s="33"/>
      <c r="H7" s="33"/>
      <c r="I7" s="33"/>
      <c r="J7" s="270"/>
      <c r="K7" s="270"/>
      <c r="L7" s="33"/>
      <c r="M7" s="33"/>
      <c r="N7" s="33"/>
      <c r="O7" s="33"/>
      <c r="P7" s="33"/>
      <c r="Q7" s="33"/>
      <c r="R7" s="270"/>
      <c r="S7" s="33"/>
      <c r="T7" s="270"/>
      <c r="U7" s="709"/>
    </row>
    <row r="8" spans="1:23" ht="15" customHeight="1" x14ac:dyDescent="0.25">
      <c r="B8" s="704" t="s">
        <v>220</v>
      </c>
      <c r="C8" s="190">
        <v>1476210.1610342481</v>
      </c>
      <c r="D8" s="46">
        <v>1740395.4865048763</v>
      </c>
      <c r="E8" s="46">
        <v>1755546.2122930367</v>
      </c>
      <c r="F8" s="46">
        <v>1395334.8945339078</v>
      </c>
      <c r="G8" s="46">
        <v>1058470.4694942164</v>
      </c>
      <c r="H8" s="46">
        <v>813200.04536175996</v>
      </c>
      <c r="I8" s="46">
        <v>1678700</v>
      </c>
      <c r="J8" s="713">
        <v>2017187.6842821499</v>
      </c>
      <c r="K8" s="713">
        <v>1772069.62</v>
      </c>
      <c r="L8" s="46">
        <v>1835738</v>
      </c>
      <c r="M8" s="46">
        <v>2088092</v>
      </c>
      <c r="N8" s="46">
        <v>2317432</v>
      </c>
      <c r="O8" s="46">
        <v>2430480</v>
      </c>
      <c r="P8" s="46">
        <v>2426263</v>
      </c>
      <c r="Q8" s="46">
        <v>2111339</v>
      </c>
      <c r="R8" s="713">
        <v>2371161</v>
      </c>
      <c r="S8" s="46">
        <v>2442555</v>
      </c>
      <c r="T8" s="713">
        <v>2565442</v>
      </c>
      <c r="U8" s="714">
        <v>2470668.52</v>
      </c>
    </row>
    <row r="9" spans="1:23" ht="15" customHeight="1" x14ac:dyDescent="0.25">
      <c r="B9" s="704" t="s">
        <v>136</v>
      </c>
      <c r="C9" s="190">
        <v>2492282.5308641973</v>
      </c>
      <c r="D9" s="46">
        <v>2719505.2557319221</v>
      </c>
      <c r="E9" s="46">
        <v>2938419.3915343913</v>
      </c>
      <c r="F9" s="46">
        <v>2638315.7583774249</v>
      </c>
      <c r="G9" s="46">
        <v>3159782.4162257495</v>
      </c>
      <c r="H9" s="46">
        <v>4027004.4179894179</v>
      </c>
      <c r="I9" s="46">
        <v>4433698.9682539683</v>
      </c>
      <c r="J9" s="713">
        <v>4574755.4673721334</v>
      </c>
      <c r="K9" s="713">
        <v>5009536.5167548498</v>
      </c>
      <c r="L9" s="46">
        <v>5356017.3368606698</v>
      </c>
      <c r="M9" s="46">
        <v>5547226.2599999998</v>
      </c>
      <c r="N9" s="46">
        <v>5836481</v>
      </c>
      <c r="O9" s="46">
        <v>6298116</v>
      </c>
      <c r="P9" s="758">
        <v>7170783</v>
      </c>
      <c r="Q9" s="758">
        <v>7484137</v>
      </c>
      <c r="R9" s="782">
        <v>7632181</v>
      </c>
      <c r="S9" s="758">
        <v>7989781</v>
      </c>
      <c r="T9" s="782">
        <v>4832697</v>
      </c>
      <c r="U9" s="734">
        <v>7124980</v>
      </c>
    </row>
    <row r="10" spans="1:23" ht="15" customHeight="1" x14ac:dyDescent="0.25">
      <c r="B10" s="704" t="s">
        <v>260</v>
      </c>
      <c r="C10" s="190">
        <v>867728.98589065252</v>
      </c>
      <c r="D10" s="46">
        <v>1447239.2768959436</v>
      </c>
      <c r="E10" s="46">
        <v>1460394.1710758377</v>
      </c>
      <c r="F10" s="46">
        <v>1630694.0123456789</v>
      </c>
      <c r="G10" s="46">
        <v>853942.92768959433</v>
      </c>
      <c r="H10" s="46">
        <v>9527.6190476190477</v>
      </c>
      <c r="I10" s="46">
        <v>9095.5467372134026</v>
      </c>
      <c r="J10" s="713">
        <v>8024.2592592592591</v>
      </c>
      <c r="K10" s="713">
        <v>9135.9964726631388</v>
      </c>
      <c r="L10" s="46">
        <v>19281.111111111109</v>
      </c>
      <c r="M10" s="46">
        <v>9053</v>
      </c>
      <c r="N10" s="46">
        <v>9083</v>
      </c>
      <c r="O10" s="46">
        <v>11512</v>
      </c>
      <c r="P10" s="758">
        <v>19926</v>
      </c>
      <c r="Q10" s="758">
        <v>23134</v>
      </c>
      <c r="R10" s="782">
        <v>25489</v>
      </c>
      <c r="S10" s="758">
        <v>7488</v>
      </c>
      <c r="T10" s="782">
        <v>3523</v>
      </c>
      <c r="U10" s="734">
        <v>12642</v>
      </c>
    </row>
    <row r="11" spans="1:23" ht="15" customHeight="1" x14ac:dyDescent="0.25">
      <c r="B11" s="704" t="s">
        <v>131</v>
      </c>
      <c r="C11" s="190">
        <v>14828.237606464292</v>
      </c>
      <c r="D11" s="46">
        <v>7797.1536725631504</v>
      </c>
      <c r="E11" s="46">
        <v>5579.2531120331951</v>
      </c>
      <c r="F11" s="46">
        <v>4060.7119458397028</v>
      </c>
      <c r="G11" s="46">
        <v>6398.1364198878937</v>
      </c>
      <c r="H11" s="46">
        <v>10109.558127684355</v>
      </c>
      <c r="I11" s="46">
        <v>17306.791875955449</v>
      </c>
      <c r="J11" s="713">
        <v>48486.787508189562</v>
      </c>
      <c r="K11" s="713">
        <v>20690.762175147411</v>
      </c>
      <c r="L11" s="46">
        <v>9636.4271675038217</v>
      </c>
      <c r="M11" s="46">
        <v>8289.0300000000007</v>
      </c>
      <c r="N11" s="46">
        <v>7824</v>
      </c>
      <c r="O11" s="46">
        <v>5570</v>
      </c>
      <c r="P11" s="758">
        <v>7170</v>
      </c>
      <c r="Q11" s="758">
        <v>6579</v>
      </c>
      <c r="R11" s="782">
        <v>6532</v>
      </c>
      <c r="S11" s="758">
        <v>6275</v>
      </c>
      <c r="T11" s="782">
        <v>6672</v>
      </c>
      <c r="U11" s="734">
        <v>5970</v>
      </c>
    </row>
    <row r="12" spans="1:23" ht="15" customHeight="1" x14ac:dyDescent="0.25">
      <c r="B12" s="704" t="s">
        <v>76</v>
      </c>
      <c r="C12" s="190">
        <v>4025542.345802289</v>
      </c>
      <c r="D12" s="46">
        <v>4531969.7365389047</v>
      </c>
      <c r="E12" s="46">
        <v>4231094.4235348338</v>
      </c>
      <c r="F12" s="46">
        <v>4246185.2446424458</v>
      </c>
      <c r="G12" s="46">
        <v>5451226.0619095173</v>
      </c>
      <c r="H12" s="46">
        <v>5995031.9609801061</v>
      </c>
      <c r="I12" s="46">
        <v>6434184.1155234659</v>
      </c>
      <c r="J12" s="713">
        <v>7249279.537598894</v>
      </c>
      <c r="K12" s="713">
        <v>7741182.1645287657</v>
      </c>
      <c r="L12" s="46">
        <v>7797829.3110069903</v>
      </c>
      <c r="M12" s="46">
        <v>7840873</v>
      </c>
      <c r="N12" s="46">
        <v>9712387</v>
      </c>
      <c r="O12" s="46">
        <v>7074609</v>
      </c>
      <c r="P12" s="758">
        <v>8047653</v>
      </c>
      <c r="Q12" s="758">
        <v>8508060</v>
      </c>
      <c r="R12" s="782">
        <v>8568408</v>
      </c>
      <c r="S12" s="758">
        <v>8860170</v>
      </c>
      <c r="T12" s="782">
        <v>4776485</v>
      </c>
      <c r="U12" s="734">
        <v>6816834</v>
      </c>
    </row>
    <row r="13" spans="1:23" ht="15" customHeight="1" x14ac:dyDescent="0.25">
      <c r="B13" s="704" t="s">
        <v>79</v>
      </c>
      <c r="C13" s="190"/>
      <c r="D13" s="46"/>
      <c r="E13" s="46"/>
      <c r="F13" s="46"/>
      <c r="G13" s="46">
        <v>267346.97251806059</v>
      </c>
      <c r="H13" s="46">
        <v>250385.04505846428</v>
      </c>
      <c r="I13" s="46">
        <v>32888.955090489311</v>
      </c>
      <c r="J13" s="713"/>
      <c r="K13" s="713"/>
      <c r="L13" s="46"/>
      <c r="M13" s="46"/>
      <c r="N13" s="46"/>
      <c r="O13" s="46"/>
      <c r="P13" s="758"/>
      <c r="Q13" s="758"/>
      <c r="R13" s="782"/>
      <c r="S13" s="758"/>
      <c r="T13" s="782"/>
      <c r="U13" s="734"/>
      <c r="W13" s="441"/>
    </row>
    <row r="14" spans="1:23" ht="15" customHeight="1" x14ac:dyDescent="0.25">
      <c r="B14" s="704" t="s">
        <v>261</v>
      </c>
      <c r="C14" s="190">
        <v>66657.666527021371</v>
      </c>
      <c r="D14" s="46">
        <v>61228.515570451054</v>
      </c>
      <c r="E14" s="46">
        <v>157089.42885071918</v>
      </c>
      <c r="F14" s="46">
        <v>150983.85700321183</v>
      </c>
      <c r="G14" s="46">
        <v>3099246.8021226088</v>
      </c>
      <c r="H14" s="46">
        <v>2525599.0573942186</v>
      </c>
      <c r="I14" s="46">
        <v>3608177.454266164</v>
      </c>
      <c r="J14" s="713">
        <v>3121049.1062700739</v>
      </c>
      <c r="K14" s="713">
        <v>2227351.8293534424</v>
      </c>
      <c r="L14" s="46">
        <v>3198184.9811478844</v>
      </c>
      <c r="M14" s="46">
        <v>2012428</v>
      </c>
      <c r="N14" s="46">
        <v>1353625</v>
      </c>
      <c r="O14" s="46">
        <v>1844514</v>
      </c>
      <c r="P14" s="758">
        <v>2836188</v>
      </c>
      <c r="Q14" s="758">
        <v>3100723</v>
      </c>
      <c r="R14" s="782">
        <v>1299139</v>
      </c>
      <c r="S14" s="758">
        <v>950616</v>
      </c>
      <c r="T14" s="782">
        <v>486662</v>
      </c>
      <c r="U14" s="734">
        <v>258340</v>
      </c>
    </row>
    <row r="15" spans="1:23" ht="15" customHeight="1" x14ac:dyDescent="0.25">
      <c r="B15" s="704" t="s">
        <v>233</v>
      </c>
      <c r="C15" s="190">
        <v>473304.82178311434</v>
      </c>
      <c r="D15" s="46">
        <v>42576.628533610667</v>
      </c>
      <c r="E15" s="46">
        <v>150028.73215467524</v>
      </c>
      <c r="F15" s="46">
        <v>89434.13066086793</v>
      </c>
      <c r="G15" s="46">
        <v>1318486.8488229178</v>
      </c>
      <c r="H15" s="46">
        <v>2573990.0349815637</v>
      </c>
      <c r="I15" s="46">
        <v>2690123.3525574361</v>
      </c>
      <c r="J15" s="713">
        <v>2965747.9625602723</v>
      </c>
      <c r="K15" s="713">
        <v>3531657.8424884183</v>
      </c>
      <c r="L15" s="46">
        <v>4104466.3609719202</v>
      </c>
      <c r="M15" s="46">
        <v>4117870</v>
      </c>
      <c r="N15" s="46">
        <v>4373285</v>
      </c>
      <c r="O15" s="46">
        <v>4654488</v>
      </c>
      <c r="P15" s="758">
        <v>6019530</v>
      </c>
      <c r="Q15" s="758">
        <v>6452861</v>
      </c>
      <c r="R15" s="782">
        <v>7012516</v>
      </c>
      <c r="S15" s="758">
        <v>6106588</v>
      </c>
      <c r="T15" s="782">
        <v>1792024</v>
      </c>
      <c r="U15" s="734">
        <v>3738304</v>
      </c>
    </row>
    <row r="16" spans="1:23" ht="15" customHeight="1" x14ac:dyDescent="0.25">
      <c r="B16" s="704" t="s">
        <v>262</v>
      </c>
      <c r="C16" s="190">
        <v>134375.12212643679</v>
      </c>
      <c r="D16" s="46">
        <v>159785.72557471265</v>
      </c>
      <c r="E16" s="46">
        <v>143181.19252873564</v>
      </c>
      <c r="F16" s="46">
        <v>358593.14655172417</v>
      </c>
      <c r="G16" s="46">
        <v>369423.31896551728</v>
      </c>
      <c r="H16" s="46">
        <v>320065.16522988508</v>
      </c>
      <c r="I16" s="46">
        <v>331960.80459770118</v>
      </c>
      <c r="J16" s="713">
        <v>270601.19971264369</v>
      </c>
      <c r="K16" s="713">
        <v>609273.64942528738</v>
      </c>
      <c r="L16" s="46">
        <v>522378.21120689658</v>
      </c>
      <c r="M16" s="46">
        <v>277688</v>
      </c>
      <c r="N16" s="46">
        <v>340923</v>
      </c>
      <c r="O16" s="46">
        <v>297398</v>
      </c>
      <c r="P16" s="758">
        <v>352286</v>
      </c>
      <c r="Q16" s="758">
        <v>352259</v>
      </c>
      <c r="R16" s="782">
        <v>292648</v>
      </c>
      <c r="S16" s="758">
        <v>371506</v>
      </c>
      <c r="T16" s="782">
        <v>222085</v>
      </c>
      <c r="U16" s="734">
        <v>314780</v>
      </c>
    </row>
    <row r="17" spans="2:25" ht="15" customHeight="1" x14ac:dyDescent="0.25">
      <c r="B17" s="704" t="s">
        <v>263</v>
      </c>
      <c r="C17" s="190">
        <v>6981.5130766640477</v>
      </c>
      <c r="D17" s="46">
        <v>5899.0683578403859</v>
      </c>
      <c r="E17" s="46">
        <v>6766.2812885845769</v>
      </c>
      <c r="F17" s="46">
        <v>8195.409136827926</v>
      </c>
      <c r="G17" s="46">
        <v>9341.5723778735628</v>
      </c>
      <c r="H17" s="46">
        <v>7009.6421515804595</v>
      </c>
      <c r="I17" s="46">
        <v>6871.2957974137926</v>
      </c>
      <c r="J17" s="713">
        <v>5617.68139367816</v>
      </c>
      <c r="K17" s="713">
        <v>7677.9925466954019</v>
      </c>
      <c r="L17" s="46">
        <v>9310.7825969827572</v>
      </c>
      <c r="M17" s="46">
        <v>11976</v>
      </c>
      <c r="N17" s="46">
        <v>6241</v>
      </c>
      <c r="O17" s="46">
        <v>10800</v>
      </c>
      <c r="P17" s="758">
        <v>7280</v>
      </c>
      <c r="Q17" s="758">
        <v>7925</v>
      </c>
      <c r="R17" s="782">
        <v>8601</v>
      </c>
      <c r="S17" s="758">
        <v>8896</v>
      </c>
      <c r="T17" s="782">
        <v>4931</v>
      </c>
      <c r="U17" s="734">
        <v>8419</v>
      </c>
    </row>
    <row r="18" spans="2:25" ht="15" customHeight="1" x14ac:dyDescent="0.25">
      <c r="B18" s="704" t="s">
        <v>264</v>
      </c>
      <c r="C18" s="190">
        <v>119.00657745520525</v>
      </c>
      <c r="D18" s="46">
        <v>249.64844635971875</v>
      </c>
      <c r="E18" s="46">
        <v>227.44386482195506</v>
      </c>
      <c r="F18" s="46">
        <v>599.27421183941931</v>
      </c>
      <c r="G18" s="46">
        <v>388.90904967112721</v>
      </c>
      <c r="H18" s="46">
        <v>1681.5944658652754</v>
      </c>
      <c r="I18" s="46">
        <v>479.41710138353363</v>
      </c>
      <c r="J18" s="713">
        <v>883.08006350646394</v>
      </c>
      <c r="K18" s="713">
        <v>371.98911317759126</v>
      </c>
      <c r="L18" s="46">
        <v>313.26831481061464</v>
      </c>
      <c r="M18" s="46">
        <v>471</v>
      </c>
      <c r="N18" s="46">
        <v>765</v>
      </c>
      <c r="O18" s="46">
        <v>1149</v>
      </c>
      <c r="P18" s="758">
        <v>300</v>
      </c>
      <c r="Q18" s="758">
        <v>665</v>
      </c>
      <c r="R18" s="782">
        <v>701</v>
      </c>
      <c r="S18" s="758">
        <v>339</v>
      </c>
      <c r="T18" s="782">
        <v>208</v>
      </c>
      <c r="U18" s="734">
        <v>904</v>
      </c>
    </row>
    <row r="19" spans="2:25" ht="15" customHeight="1" x14ac:dyDescent="0.25">
      <c r="B19" s="705" t="s">
        <v>270</v>
      </c>
      <c r="C19" s="190"/>
      <c r="D19" s="46"/>
      <c r="E19" s="46"/>
      <c r="F19" s="46"/>
      <c r="G19" s="46"/>
      <c r="H19" s="46"/>
      <c r="I19" s="46"/>
      <c r="J19" s="713"/>
      <c r="K19" s="713"/>
      <c r="L19" s="46"/>
      <c r="M19" s="46"/>
      <c r="N19" s="46"/>
      <c r="O19" s="46"/>
      <c r="P19" s="758"/>
      <c r="Q19" s="758"/>
      <c r="R19" s="782"/>
      <c r="S19" s="758"/>
      <c r="T19" s="782"/>
      <c r="U19" s="734"/>
    </row>
    <row r="20" spans="2:25" ht="15" customHeight="1" x14ac:dyDescent="0.25">
      <c r="B20" s="704" t="s">
        <v>266</v>
      </c>
      <c r="C20" s="190">
        <v>230801.20316259883</v>
      </c>
      <c r="D20" s="46">
        <v>248726.89068408389</v>
      </c>
      <c r="E20" s="46">
        <v>333868.09900309384</v>
      </c>
      <c r="F20" s="46">
        <v>472863.86215194227</v>
      </c>
      <c r="G20" s="46">
        <v>343284.94880359928</v>
      </c>
      <c r="H20" s="46">
        <v>294621.6607480502</v>
      </c>
      <c r="I20" s="46">
        <v>372885.45892494929</v>
      </c>
      <c r="J20" s="713">
        <v>336992.69527503266</v>
      </c>
      <c r="K20" s="713">
        <v>355065.2072449369</v>
      </c>
      <c r="L20" s="46">
        <v>357106.09487279278</v>
      </c>
      <c r="M20" s="46">
        <v>376336.85978112178</v>
      </c>
      <c r="N20" s="46">
        <v>275758</v>
      </c>
      <c r="O20" s="46">
        <f>279187+6811+8899</f>
        <v>294897</v>
      </c>
      <c r="P20" s="758">
        <f>346393+10306+6905</f>
        <v>363604</v>
      </c>
      <c r="Q20" s="758">
        <v>434679</v>
      </c>
      <c r="R20" s="782">
        <v>413607</v>
      </c>
      <c r="S20" s="758">
        <v>393082</v>
      </c>
      <c r="T20" s="782">
        <v>274696</v>
      </c>
      <c r="U20" s="734">
        <v>483960</v>
      </c>
      <c r="V20" s="43"/>
    </row>
    <row r="21" spans="2:25" ht="15" customHeight="1" x14ac:dyDescent="0.25">
      <c r="B21" s="704" t="s">
        <v>265</v>
      </c>
      <c r="C21" s="190"/>
      <c r="D21" s="46">
        <v>1778.9152298850577</v>
      </c>
      <c r="E21" s="46">
        <v>337378.77155172417</v>
      </c>
      <c r="F21" s="46">
        <v>228763.00287356324</v>
      </c>
      <c r="G21" s="46">
        <v>223543.75</v>
      </c>
      <c r="H21" s="46">
        <v>229559.92097701153</v>
      </c>
      <c r="I21" s="46">
        <v>458994.40373563219</v>
      </c>
      <c r="J21" s="713">
        <v>787768.68534482759</v>
      </c>
      <c r="K21" s="713">
        <v>581223.13218390814</v>
      </c>
      <c r="L21" s="46">
        <v>1192817.3060344828</v>
      </c>
      <c r="M21" s="46">
        <v>1170899</v>
      </c>
      <c r="N21" s="46">
        <v>1099376</v>
      </c>
      <c r="O21" s="46">
        <v>1164547</v>
      </c>
      <c r="P21" s="758">
        <v>840990</v>
      </c>
      <c r="Q21" s="758"/>
      <c r="R21" s="782"/>
      <c r="S21" s="758">
        <v>678620</v>
      </c>
      <c r="T21" s="782">
        <v>345625</v>
      </c>
      <c r="U21" s="734"/>
    </row>
    <row r="22" spans="2:25" ht="15" customHeight="1" x14ac:dyDescent="0.25">
      <c r="B22" s="701"/>
      <c r="C22" s="107"/>
      <c r="D22" s="37"/>
      <c r="E22" s="37"/>
      <c r="F22" s="37"/>
      <c r="G22" s="37"/>
      <c r="H22" s="37"/>
      <c r="I22" s="37"/>
      <c r="J22" s="271"/>
      <c r="K22" s="271"/>
      <c r="L22" s="36"/>
      <c r="M22" s="36"/>
      <c r="N22" s="36"/>
      <c r="O22" s="36"/>
      <c r="P22" s="36"/>
      <c r="Q22" s="36"/>
      <c r="R22" s="707"/>
      <c r="S22" s="36"/>
      <c r="T22" s="707"/>
      <c r="U22" s="710"/>
    </row>
    <row r="23" spans="2:25" ht="15" customHeight="1" thickBot="1" x14ac:dyDescent="0.3">
      <c r="B23" s="702"/>
      <c r="C23" s="172"/>
      <c r="D23" s="173"/>
      <c r="E23" s="173"/>
      <c r="F23" s="173"/>
      <c r="G23" s="173"/>
      <c r="H23" s="173"/>
      <c r="I23" s="173"/>
      <c r="J23" s="272"/>
      <c r="K23" s="272"/>
      <c r="L23" s="711"/>
      <c r="M23" s="711"/>
      <c r="N23" s="711"/>
      <c r="O23" s="711"/>
      <c r="P23" s="711"/>
      <c r="Q23" s="711"/>
      <c r="R23" s="783"/>
      <c r="S23" s="711"/>
      <c r="T23" s="783"/>
      <c r="U23" s="712"/>
    </row>
    <row r="24" spans="2:25" ht="24.9" customHeight="1" thickBot="1" x14ac:dyDescent="0.3">
      <c r="B24" s="703" t="s">
        <v>78</v>
      </c>
      <c r="C24" s="715">
        <f>SUM(C8:C23)</f>
        <v>9788831.5944511425</v>
      </c>
      <c r="D24" s="64">
        <f t="shared" ref="D24:O24" si="0">SUM(D8:D23)</f>
        <v>10967152.301741155</v>
      </c>
      <c r="E24" s="64">
        <f t="shared" si="0"/>
        <v>11519573.400792489</v>
      </c>
      <c r="F24" s="64">
        <f t="shared" si="0"/>
        <v>11224023.304435275</v>
      </c>
      <c r="G24" s="64">
        <f t="shared" si="0"/>
        <v>16160883.134399215</v>
      </c>
      <c r="H24" s="64">
        <f t="shared" si="0"/>
        <v>17057785.722513229</v>
      </c>
      <c r="I24" s="64">
        <f t="shared" si="0"/>
        <v>20075366.564461775</v>
      </c>
      <c r="J24" s="64">
        <f t="shared" si="0"/>
        <v>21386394.146640662</v>
      </c>
      <c r="K24" s="64">
        <f t="shared" si="0"/>
        <v>21865236.702287298</v>
      </c>
      <c r="L24" s="64">
        <f t="shared" si="0"/>
        <v>24403079.191292048</v>
      </c>
      <c r="M24" s="64">
        <f t="shared" si="0"/>
        <v>23461202.149781119</v>
      </c>
      <c r="N24" s="64">
        <f t="shared" si="0"/>
        <v>25333180</v>
      </c>
      <c r="O24" s="64">
        <f t="shared" si="0"/>
        <v>24088080</v>
      </c>
      <c r="P24" s="64">
        <f t="shared" ref="P24:Q24" si="1">SUM(P8:P23)</f>
        <v>28091973</v>
      </c>
      <c r="Q24" s="64">
        <f t="shared" si="1"/>
        <v>28482361</v>
      </c>
      <c r="R24" s="716">
        <f t="shared" ref="R24:S24" si="2">SUM(R8:R23)</f>
        <v>27630983</v>
      </c>
      <c r="S24" s="64">
        <f t="shared" si="2"/>
        <v>27815916</v>
      </c>
      <c r="T24" s="716">
        <f t="shared" ref="T24:U24" si="3">SUM(T8:T23)</f>
        <v>15311050</v>
      </c>
      <c r="U24" s="784">
        <f t="shared" si="3"/>
        <v>21235801.52</v>
      </c>
      <c r="W24" s="43"/>
      <c r="Y24" s="43"/>
    </row>
    <row r="25" spans="2:25" ht="15" customHeight="1" x14ac:dyDescent="0.25">
      <c r="B25" s="9"/>
      <c r="C25" s="34"/>
      <c r="D25" s="34"/>
      <c r="E25" s="34"/>
      <c r="F25" s="34"/>
      <c r="G25" s="34"/>
      <c r="H25" s="34"/>
      <c r="W25" s="43"/>
    </row>
    <row r="26" spans="2:25" s="14" customFormat="1" ht="15" customHeight="1" x14ac:dyDescent="0.25">
      <c r="B26" s="14" t="s">
        <v>267</v>
      </c>
      <c r="G26" s="5"/>
      <c r="H26" s="5"/>
      <c r="W26" s="68"/>
    </row>
    <row r="27" spans="2:25" s="14" customFormat="1" ht="15" customHeight="1" x14ac:dyDescent="0.25">
      <c r="B27" s="63"/>
      <c r="S27" s="785"/>
      <c r="T27" s="785"/>
      <c r="U27" s="785"/>
      <c r="W27" s="68"/>
    </row>
    <row r="28" spans="2:25" s="14" customFormat="1" ht="15" customHeight="1" x14ac:dyDescent="0.25">
      <c r="T28" s="68"/>
      <c r="W28" s="68"/>
    </row>
    <row r="29" spans="2:25" s="14" customFormat="1" ht="15" customHeight="1" x14ac:dyDescent="0.25">
      <c r="W29" s="68"/>
    </row>
    <row r="30" spans="2:25" ht="15" customHeight="1" x14ac:dyDescent="0.25">
      <c r="B30" s="14"/>
      <c r="W30" s="43"/>
      <c r="Y30" s="43"/>
    </row>
    <row r="31" spans="2:25" ht="15" customHeight="1" x14ac:dyDescent="0.25">
      <c r="W31" s="43"/>
    </row>
    <row r="32" spans="2:25" ht="15" customHeight="1" x14ac:dyDescent="0.25">
      <c r="B32" s="864" t="s">
        <v>26</v>
      </c>
      <c r="C32" s="864"/>
      <c r="D32" s="864"/>
      <c r="E32" s="864"/>
      <c r="F32" s="864"/>
      <c r="G32" s="864"/>
      <c r="H32" s="864"/>
      <c r="I32" s="864"/>
      <c r="J32" s="864"/>
      <c r="K32" s="864"/>
      <c r="W32" s="43"/>
    </row>
    <row r="33" spans="2:23" ht="15" customHeight="1" x14ac:dyDescent="0.25">
      <c r="B33" s="864" t="s">
        <v>180</v>
      </c>
      <c r="C33" s="864"/>
      <c r="D33" s="864"/>
      <c r="E33" s="864"/>
      <c r="F33" s="864"/>
      <c r="G33" s="864"/>
      <c r="H33" s="864"/>
      <c r="I33" s="864"/>
      <c r="J33" s="864"/>
      <c r="K33" s="864"/>
      <c r="W33" s="43"/>
    </row>
    <row r="34" spans="2:23" ht="15" customHeight="1" x14ac:dyDescent="0.25">
      <c r="B34" s="864" t="s">
        <v>179</v>
      </c>
      <c r="C34" s="864"/>
      <c r="D34" s="864"/>
      <c r="E34" s="864"/>
      <c r="F34" s="864"/>
      <c r="G34" s="864"/>
      <c r="H34" s="864"/>
      <c r="I34" s="864"/>
      <c r="J34" s="864"/>
      <c r="K34" s="864"/>
    </row>
    <row r="35" spans="2:23" ht="15" customHeight="1" x14ac:dyDescent="0.25">
      <c r="B35" s="864" t="s">
        <v>27</v>
      </c>
      <c r="C35" s="864"/>
      <c r="D35" s="864"/>
      <c r="E35" s="864"/>
      <c r="F35" s="864"/>
      <c r="G35" s="864"/>
      <c r="H35" s="864"/>
      <c r="I35" s="864"/>
      <c r="J35" s="864"/>
      <c r="K35" s="864"/>
      <c r="W35" s="43"/>
    </row>
    <row r="36" spans="2:23" ht="15" customHeight="1" thickBot="1" x14ac:dyDescent="0.3"/>
    <row r="37" spans="2:23" ht="15" customHeight="1" thickBot="1" x14ac:dyDescent="0.3">
      <c r="B37" s="561" t="s">
        <v>120</v>
      </c>
      <c r="C37" s="562">
        <v>1995</v>
      </c>
      <c r="D37" s="563">
        <v>1996</v>
      </c>
      <c r="E37" s="563">
        <v>1997</v>
      </c>
      <c r="F37" s="563">
        <v>1998</v>
      </c>
      <c r="G37" s="563">
        <v>1999</v>
      </c>
      <c r="H37" s="563">
        <v>2000</v>
      </c>
      <c r="I37" s="563">
        <v>2001</v>
      </c>
      <c r="J37" s="706">
        <v>2002</v>
      </c>
      <c r="K37" s="717"/>
    </row>
    <row r="38" spans="2:23" ht="15" customHeight="1" x14ac:dyDescent="0.25">
      <c r="B38" s="558"/>
      <c r="C38" s="105"/>
      <c r="D38" s="33"/>
      <c r="E38" s="33"/>
      <c r="F38" s="33"/>
      <c r="G38" s="33"/>
      <c r="H38" s="33"/>
      <c r="I38" s="33"/>
      <c r="J38" s="270"/>
      <c r="K38" s="717"/>
    </row>
    <row r="39" spans="2:23" ht="15" customHeight="1" x14ac:dyDescent="0.25">
      <c r="B39" s="554" t="s">
        <v>28</v>
      </c>
      <c r="C39" s="106">
        <v>1035749</v>
      </c>
      <c r="D39" s="36">
        <v>604877</v>
      </c>
      <c r="E39" s="36">
        <v>661298</v>
      </c>
      <c r="F39" s="36">
        <v>808884</v>
      </c>
      <c r="G39" s="36">
        <v>831864</v>
      </c>
      <c r="H39" s="36">
        <v>1153263</v>
      </c>
      <c r="I39" s="36">
        <v>1000319</v>
      </c>
      <c r="J39" s="707">
        <f>210149+1177864+155135+550032</f>
        <v>2093180</v>
      </c>
      <c r="K39" s="717"/>
    </row>
    <row r="40" spans="2:23" ht="15" customHeight="1" x14ac:dyDescent="0.25">
      <c r="B40" s="554" t="s">
        <v>121</v>
      </c>
      <c r="C40" s="171" t="s">
        <v>77</v>
      </c>
      <c r="D40" s="65" t="s">
        <v>77</v>
      </c>
      <c r="E40" s="65" t="s">
        <v>77</v>
      </c>
      <c r="F40" s="65" t="s">
        <v>77</v>
      </c>
      <c r="G40" s="65" t="s">
        <v>77</v>
      </c>
      <c r="H40" s="65" t="s">
        <v>77</v>
      </c>
      <c r="I40" s="65"/>
      <c r="J40" s="708"/>
      <c r="K40" s="717"/>
    </row>
    <row r="41" spans="2:23" ht="15" customHeight="1" x14ac:dyDescent="0.25">
      <c r="B41" s="554" t="s">
        <v>122</v>
      </c>
      <c r="C41" s="106">
        <v>697328</v>
      </c>
      <c r="D41" s="36">
        <v>787752</v>
      </c>
      <c r="E41" s="36">
        <v>1394101</v>
      </c>
      <c r="F41" s="36">
        <v>1263098</v>
      </c>
      <c r="G41" s="36">
        <v>843127</v>
      </c>
      <c r="H41" s="36">
        <v>880627</v>
      </c>
      <c r="I41" s="36">
        <v>642955</v>
      </c>
      <c r="J41" s="707">
        <v>1395132</v>
      </c>
      <c r="K41" s="717"/>
    </row>
    <row r="42" spans="2:23" ht="15" customHeight="1" x14ac:dyDescent="0.25">
      <c r="B42" s="554" t="s">
        <v>123</v>
      </c>
      <c r="C42" s="106">
        <v>4047185</v>
      </c>
      <c r="D42" s="36">
        <v>309073</v>
      </c>
      <c r="E42" s="36">
        <v>1007053</v>
      </c>
      <c r="F42" s="36">
        <v>2128793</v>
      </c>
      <c r="G42" s="36">
        <v>171820</v>
      </c>
      <c r="H42" s="36">
        <v>781070</v>
      </c>
      <c r="I42" s="36">
        <v>541321</v>
      </c>
      <c r="J42" s="707">
        <f>2468690</f>
        <v>2468690</v>
      </c>
      <c r="K42" s="717"/>
    </row>
    <row r="43" spans="2:23" ht="15" customHeight="1" x14ac:dyDescent="0.25">
      <c r="B43" s="555" t="s">
        <v>124</v>
      </c>
      <c r="C43" s="107">
        <f t="shared" ref="C43:J43" si="4">SUM(C39:C42)</f>
        <v>5780262</v>
      </c>
      <c r="D43" s="37">
        <f t="shared" si="4"/>
        <v>1701702</v>
      </c>
      <c r="E43" s="37">
        <f t="shared" si="4"/>
        <v>3062452</v>
      </c>
      <c r="F43" s="37">
        <f t="shared" si="4"/>
        <v>4200775</v>
      </c>
      <c r="G43" s="37">
        <f t="shared" si="4"/>
        <v>1846811</v>
      </c>
      <c r="H43" s="37">
        <f t="shared" si="4"/>
        <v>2814960</v>
      </c>
      <c r="I43" s="37">
        <f t="shared" si="4"/>
        <v>2184595</v>
      </c>
      <c r="J43" s="271">
        <f t="shared" si="4"/>
        <v>5957002</v>
      </c>
      <c r="K43" s="717"/>
    </row>
    <row r="44" spans="2:23" ht="15" customHeight="1" x14ac:dyDescent="0.25">
      <c r="B44" s="554"/>
      <c r="C44" s="106"/>
      <c r="D44" s="36"/>
      <c r="E44" s="36"/>
      <c r="F44" s="36"/>
      <c r="G44" s="36"/>
      <c r="H44" s="36"/>
      <c r="I44" s="36"/>
      <c r="J44" s="707"/>
      <c r="K44" s="717"/>
    </row>
    <row r="45" spans="2:23" ht="15" customHeight="1" x14ac:dyDescent="0.25">
      <c r="B45" s="554" t="s">
        <v>125</v>
      </c>
      <c r="C45" s="106">
        <v>1057519</v>
      </c>
      <c r="D45" s="36">
        <v>592816</v>
      </c>
      <c r="E45" s="36">
        <v>331747</v>
      </c>
      <c r="F45" s="36">
        <v>223290</v>
      </c>
      <c r="G45" s="36">
        <v>214729</v>
      </c>
      <c r="H45" s="36">
        <v>214835</v>
      </c>
      <c r="I45" s="65">
        <v>158846</v>
      </c>
      <c r="J45" s="708" t="s">
        <v>77</v>
      </c>
      <c r="K45" s="717"/>
    </row>
    <row r="46" spans="2:23" ht="15" customHeight="1" x14ac:dyDescent="0.25">
      <c r="B46" s="554" t="s">
        <v>126</v>
      </c>
      <c r="C46" s="171" t="s">
        <v>77</v>
      </c>
      <c r="D46" s="46">
        <v>207879</v>
      </c>
      <c r="E46" s="46">
        <v>556379</v>
      </c>
      <c r="F46" s="46">
        <v>604184</v>
      </c>
      <c r="G46" s="46">
        <v>587157</v>
      </c>
      <c r="H46" s="46">
        <v>593027</v>
      </c>
      <c r="I46" s="65">
        <v>575821</v>
      </c>
      <c r="J46" s="708" t="s">
        <v>77</v>
      </c>
      <c r="K46" s="717"/>
    </row>
    <row r="47" spans="2:23" ht="15" customHeight="1" x14ac:dyDescent="0.25">
      <c r="B47" s="555" t="s">
        <v>124</v>
      </c>
      <c r="C47" s="107">
        <f t="shared" ref="C47:I47" si="5">SUM(C45:C46)</f>
        <v>1057519</v>
      </c>
      <c r="D47" s="37">
        <f t="shared" si="5"/>
        <v>800695</v>
      </c>
      <c r="E47" s="37">
        <f t="shared" si="5"/>
        <v>888126</v>
      </c>
      <c r="F47" s="37">
        <f t="shared" si="5"/>
        <v>827474</v>
      </c>
      <c r="G47" s="37">
        <f t="shared" si="5"/>
        <v>801886</v>
      </c>
      <c r="H47" s="37">
        <f t="shared" si="5"/>
        <v>807862</v>
      </c>
      <c r="I47" s="37">
        <f t="shared" si="5"/>
        <v>734667</v>
      </c>
      <c r="J47" s="271">
        <v>681446</v>
      </c>
      <c r="K47" s="717"/>
    </row>
    <row r="48" spans="2:23" ht="15" customHeight="1" x14ac:dyDescent="0.25">
      <c r="B48" s="554"/>
      <c r="C48" s="106"/>
      <c r="D48" s="36"/>
      <c r="E48" s="36"/>
      <c r="F48" s="36"/>
      <c r="G48" s="36"/>
      <c r="H48" s="36"/>
      <c r="I48" s="36"/>
      <c r="J48" s="707"/>
      <c r="K48" s="717"/>
    </row>
    <row r="49" spans="2:11" ht="15" customHeight="1" x14ac:dyDescent="0.25">
      <c r="B49" s="554" t="s">
        <v>29</v>
      </c>
      <c r="C49" s="106">
        <v>2457624</v>
      </c>
      <c r="D49" s="36">
        <v>1972535</v>
      </c>
      <c r="E49" s="36">
        <v>1455564</v>
      </c>
      <c r="F49" s="36">
        <v>1537215</v>
      </c>
      <c r="G49" s="36">
        <v>1190874</v>
      </c>
      <c r="H49" s="36">
        <v>1015253</v>
      </c>
      <c r="I49" s="36">
        <v>1836584</v>
      </c>
      <c r="J49" s="707">
        <f>711806+1416832</f>
        <v>2128638</v>
      </c>
      <c r="K49" s="717"/>
    </row>
    <row r="50" spans="2:11" ht="15" customHeight="1" x14ac:dyDescent="0.25">
      <c r="B50" s="554" t="s">
        <v>127</v>
      </c>
      <c r="C50" s="106">
        <v>57247</v>
      </c>
      <c r="D50" s="36">
        <v>48245</v>
      </c>
      <c r="E50" s="65" t="s">
        <v>77</v>
      </c>
      <c r="F50" s="36">
        <v>65620</v>
      </c>
      <c r="G50" s="36">
        <v>25076</v>
      </c>
      <c r="H50" s="65" t="s">
        <v>77</v>
      </c>
      <c r="I50" s="65" t="s">
        <v>77</v>
      </c>
      <c r="J50" s="708">
        <v>24951</v>
      </c>
      <c r="K50" s="717"/>
    </row>
    <row r="51" spans="2:11" ht="15" customHeight="1" x14ac:dyDescent="0.25">
      <c r="B51" s="554" t="s">
        <v>128</v>
      </c>
      <c r="C51" s="171" t="s">
        <v>77</v>
      </c>
      <c r="D51" s="65" t="s">
        <v>77</v>
      </c>
      <c r="E51" s="65" t="s">
        <v>77</v>
      </c>
      <c r="F51" s="65" t="s">
        <v>77</v>
      </c>
      <c r="G51" s="65" t="s">
        <v>77</v>
      </c>
      <c r="H51" s="65" t="s">
        <v>77</v>
      </c>
      <c r="I51" s="65" t="s">
        <v>77</v>
      </c>
      <c r="J51" s="708"/>
      <c r="K51" s="717"/>
    </row>
    <row r="52" spans="2:11" ht="15" customHeight="1" x14ac:dyDescent="0.25">
      <c r="B52" s="554" t="s">
        <v>79</v>
      </c>
      <c r="C52" s="171" t="s">
        <v>77</v>
      </c>
      <c r="D52" s="65" t="s">
        <v>77</v>
      </c>
      <c r="E52" s="65" t="s">
        <v>77</v>
      </c>
      <c r="F52" s="65" t="s">
        <v>77</v>
      </c>
      <c r="G52" s="65" t="s">
        <v>77</v>
      </c>
      <c r="H52" s="65" t="s">
        <v>77</v>
      </c>
      <c r="I52" s="65" t="s">
        <v>77</v>
      </c>
      <c r="J52" s="708" t="s">
        <v>77</v>
      </c>
      <c r="K52" s="717"/>
    </row>
    <row r="53" spans="2:11" ht="15" customHeight="1" x14ac:dyDescent="0.25">
      <c r="B53" s="555" t="s">
        <v>124</v>
      </c>
      <c r="C53" s="107">
        <f t="shared" ref="C53:J53" si="6">SUM(C49:C52)</f>
        <v>2514871</v>
      </c>
      <c r="D53" s="37">
        <f t="shared" si="6"/>
        <v>2020780</v>
      </c>
      <c r="E53" s="37">
        <f t="shared" si="6"/>
        <v>1455564</v>
      </c>
      <c r="F53" s="37">
        <f t="shared" si="6"/>
        <v>1602835</v>
      </c>
      <c r="G53" s="37">
        <f t="shared" si="6"/>
        <v>1215950</v>
      </c>
      <c r="H53" s="37">
        <f t="shared" si="6"/>
        <v>1015253</v>
      </c>
      <c r="I53" s="37">
        <f t="shared" si="6"/>
        <v>1836584</v>
      </c>
      <c r="J53" s="271">
        <f t="shared" si="6"/>
        <v>2153589</v>
      </c>
      <c r="K53" s="717"/>
    </row>
    <row r="54" spans="2:11" ht="15" customHeight="1" thickBot="1" x14ac:dyDescent="0.3">
      <c r="B54" s="559"/>
      <c r="C54" s="172"/>
      <c r="D54" s="173"/>
      <c r="E54" s="173"/>
      <c r="F54" s="173"/>
      <c r="G54" s="173"/>
      <c r="H54" s="173"/>
      <c r="I54" s="173"/>
      <c r="J54" s="272"/>
      <c r="K54" s="717"/>
    </row>
    <row r="55" spans="2:11" ht="15" customHeight="1" thickBot="1" x14ac:dyDescent="0.3">
      <c r="B55" s="560" t="s">
        <v>78</v>
      </c>
      <c r="C55" s="62">
        <f t="shared" ref="C55:H55" si="7">+C43+C47+C53</f>
        <v>9352652</v>
      </c>
      <c r="D55" s="64">
        <f t="shared" si="7"/>
        <v>4523177</v>
      </c>
      <c r="E55" s="64">
        <f t="shared" si="7"/>
        <v>5406142</v>
      </c>
      <c r="F55" s="64">
        <f t="shared" si="7"/>
        <v>6631084</v>
      </c>
      <c r="G55" s="64">
        <f t="shared" si="7"/>
        <v>3864647</v>
      </c>
      <c r="H55" s="64">
        <f t="shared" si="7"/>
        <v>4638075</v>
      </c>
      <c r="I55" s="64">
        <f>+I43+I47+I53</f>
        <v>4755846</v>
      </c>
      <c r="J55" s="716">
        <f>+J43+J47+J53</f>
        <v>8792037</v>
      </c>
      <c r="K55" s="717"/>
    </row>
    <row r="56" spans="2:11" ht="15" customHeight="1" x14ac:dyDescent="0.25">
      <c r="B56" s="9"/>
      <c r="C56" s="34"/>
      <c r="D56" s="34"/>
      <c r="E56" s="34"/>
      <c r="F56" s="34"/>
      <c r="G56" s="34"/>
      <c r="H56" s="34"/>
    </row>
    <row r="57" spans="2:11" ht="15" customHeight="1" x14ac:dyDescent="0.25">
      <c r="B57" s="14" t="s">
        <v>129</v>
      </c>
      <c r="C57" s="5"/>
      <c r="D57" s="5"/>
      <c r="E57" s="5"/>
      <c r="F57" s="5"/>
      <c r="G57" s="5"/>
      <c r="H57" s="5"/>
      <c r="I57" s="14"/>
      <c r="J57" s="14"/>
      <c r="K57" s="14"/>
    </row>
    <row r="58" spans="2:11" ht="15" customHeight="1" x14ac:dyDescent="0.25">
      <c r="B58" s="63" t="s">
        <v>130</v>
      </c>
      <c r="C58" s="14"/>
      <c r="D58" s="14"/>
      <c r="E58" s="14"/>
      <c r="F58" s="14"/>
      <c r="G58" s="14"/>
      <c r="H58" s="14"/>
      <c r="I58" s="14"/>
      <c r="J58" s="14"/>
      <c r="K58" s="14"/>
    </row>
    <row r="59" spans="2:11" ht="1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2:11" ht="15" customHeight="1" x14ac:dyDescent="0.25">
      <c r="B60" s="14" t="s">
        <v>183</v>
      </c>
      <c r="C60" s="14"/>
      <c r="D60" s="14"/>
      <c r="E60" s="14"/>
      <c r="F60" s="14"/>
      <c r="G60" s="14"/>
      <c r="H60" s="14"/>
      <c r="I60" s="14"/>
      <c r="J60" s="14"/>
      <c r="K60" s="14"/>
    </row>
    <row r="61" spans="2:11" ht="15" customHeight="1" x14ac:dyDescent="0.25">
      <c r="B61" s="14" t="s">
        <v>184</v>
      </c>
    </row>
  </sheetData>
  <mergeCells count="8">
    <mergeCell ref="B35:K35"/>
    <mergeCell ref="B32:K32"/>
    <mergeCell ref="B33:K33"/>
    <mergeCell ref="B34:K34"/>
    <mergeCell ref="B1:Q1"/>
    <mergeCell ref="B2:U2"/>
    <mergeCell ref="B3:U3"/>
    <mergeCell ref="B4:U4"/>
  </mergeCells>
  <phoneticPr fontId="0" type="noConversion"/>
  <printOptions horizontalCentered="1"/>
  <pageMargins left="0.59055118110236227" right="0.59055118110236227" top="0.59055118110236227" bottom="0.59055118110236227" header="0" footer="0"/>
  <pageSetup scale="9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Q269"/>
  <sheetViews>
    <sheetView workbookViewId="0">
      <selection activeCell="L163" sqref="L163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5.6640625" style="13" customWidth="1"/>
    <col min="3" max="5" width="12.6640625" style="13" customWidth="1"/>
    <col min="6" max="6" width="13" style="13" customWidth="1"/>
    <col min="7" max="7" width="12.6640625" style="13" customWidth="1"/>
    <col min="8" max="8" width="13.109375" style="13" customWidth="1"/>
    <col min="9" max="9" width="12.6640625" style="13" customWidth="1"/>
    <col min="10" max="10" width="13.109375" style="13" customWidth="1"/>
    <col min="11" max="11" width="15" style="13" customWidth="1"/>
    <col min="12" max="12" width="13.33203125" style="13" customWidth="1"/>
    <col min="13" max="13" width="14.6640625" style="13" customWidth="1"/>
    <col min="14" max="15" width="12.6640625" style="13" customWidth="1"/>
    <col min="16" max="16" width="14.6640625" style="13" customWidth="1"/>
    <col min="17" max="16384" width="11.44140625" style="13"/>
  </cols>
  <sheetData>
    <row r="1" spans="2:16" ht="15" customHeight="1" x14ac:dyDescent="0.25">
      <c r="B1" s="864" t="s">
        <v>186</v>
      </c>
      <c r="C1" s="864"/>
      <c r="D1" s="864"/>
      <c r="E1" s="864"/>
      <c r="F1" s="864"/>
      <c r="G1" s="864"/>
      <c r="H1" s="864"/>
      <c r="I1" s="864"/>
      <c r="J1" s="864"/>
      <c r="K1" s="41"/>
      <c r="L1" s="41"/>
      <c r="M1" s="41"/>
      <c r="N1" s="41"/>
      <c r="O1" s="41"/>
      <c r="P1" s="41"/>
    </row>
    <row r="2" spans="2:16" ht="15" customHeight="1" x14ac:dyDescent="0.25">
      <c r="B2" s="864" t="s">
        <v>30</v>
      </c>
      <c r="C2" s="864"/>
      <c r="D2" s="864"/>
      <c r="E2" s="864"/>
      <c r="F2" s="864"/>
      <c r="G2" s="864"/>
      <c r="H2" s="864"/>
      <c r="I2" s="864"/>
      <c r="J2" s="864"/>
      <c r="K2" s="41"/>
      <c r="L2" s="41"/>
      <c r="M2" s="41"/>
      <c r="N2" s="41"/>
      <c r="O2" s="41"/>
      <c r="P2" s="41"/>
    </row>
    <row r="3" spans="2:16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41"/>
      <c r="L3" s="41"/>
      <c r="M3" s="41"/>
      <c r="N3" s="41"/>
      <c r="O3" s="41"/>
      <c r="P3" s="41"/>
    </row>
    <row r="4" spans="2:16" ht="15" customHeight="1" x14ac:dyDescent="0.25">
      <c r="B4" s="927" t="s">
        <v>98</v>
      </c>
      <c r="C4" s="927"/>
      <c r="D4" s="927"/>
      <c r="E4" s="927"/>
      <c r="F4" s="927"/>
      <c r="G4" s="927"/>
      <c r="H4" s="927"/>
      <c r="I4" s="927"/>
      <c r="J4" s="927"/>
      <c r="K4" s="6"/>
      <c r="L4" s="6"/>
      <c r="M4" s="6"/>
      <c r="N4" s="6"/>
      <c r="O4" s="6"/>
      <c r="P4" s="6"/>
    </row>
    <row r="5" spans="2:16" ht="15" customHeight="1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39.9" customHeight="1" thickBot="1" x14ac:dyDescent="0.3">
      <c r="B6" s="565" t="s">
        <v>100</v>
      </c>
      <c r="C6" s="566" t="s">
        <v>31</v>
      </c>
      <c r="D6" s="567" t="s">
        <v>32</v>
      </c>
      <c r="E6" s="567" t="s">
        <v>254</v>
      </c>
      <c r="F6" s="567" t="s">
        <v>33</v>
      </c>
      <c r="G6" s="563" t="s">
        <v>131</v>
      </c>
      <c r="H6" s="567" t="s">
        <v>34</v>
      </c>
      <c r="I6" s="568" t="s">
        <v>0</v>
      </c>
      <c r="J6" s="564" t="s">
        <v>132</v>
      </c>
      <c r="K6" s="31"/>
      <c r="L6" s="31"/>
      <c r="M6" s="52"/>
      <c r="N6" s="52"/>
      <c r="O6" s="31"/>
      <c r="P6" s="31"/>
    </row>
    <row r="7" spans="2:16" s="67" customFormat="1" ht="15" customHeight="1" x14ac:dyDescent="0.25">
      <c r="B7" s="569"/>
      <c r="C7" s="326"/>
      <c r="D7" s="71"/>
      <c r="E7" s="71"/>
      <c r="F7" s="71"/>
      <c r="G7" s="72"/>
      <c r="H7" s="71"/>
      <c r="I7" s="324"/>
      <c r="J7" s="325"/>
      <c r="K7" s="31"/>
      <c r="L7" s="31"/>
      <c r="M7" s="52"/>
      <c r="N7" s="52"/>
      <c r="O7" s="31"/>
      <c r="P7" s="31"/>
    </row>
    <row r="8" spans="2:16" ht="15" customHeight="1" x14ac:dyDescent="0.25">
      <c r="B8" s="570" t="s">
        <v>119</v>
      </c>
      <c r="C8" s="30"/>
      <c r="D8" s="11"/>
      <c r="E8" s="11"/>
      <c r="F8" s="11"/>
      <c r="G8" s="11"/>
      <c r="H8" s="11"/>
      <c r="I8" s="137"/>
      <c r="J8" s="10"/>
      <c r="K8" s="12"/>
      <c r="L8" s="12"/>
      <c r="M8" s="12"/>
      <c r="N8" s="12"/>
      <c r="O8" s="12"/>
      <c r="P8" s="12"/>
    </row>
    <row r="9" spans="2:16" ht="15" customHeight="1" x14ac:dyDescent="0.25">
      <c r="B9" s="571">
        <v>1999</v>
      </c>
      <c r="C9" s="29">
        <f t="shared" ref="C9:D11" si="0">+C36+C61+C86+C111</f>
        <v>83931</v>
      </c>
      <c r="D9" s="17">
        <f t="shared" si="0"/>
        <v>46256</v>
      </c>
      <c r="E9" s="17"/>
      <c r="F9" s="17">
        <f t="shared" ref="F9:J10" si="1">+F36+F61+F86+F111</f>
        <v>12579</v>
      </c>
      <c r="G9" s="17">
        <f t="shared" si="1"/>
        <v>5451</v>
      </c>
      <c r="H9" s="17">
        <f t="shared" si="1"/>
        <v>181085</v>
      </c>
      <c r="I9" s="138">
        <f t="shared" si="1"/>
        <v>15182</v>
      </c>
      <c r="J9" s="18">
        <f t="shared" si="1"/>
        <v>81770</v>
      </c>
      <c r="K9" s="69"/>
      <c r="L9" s="69"/>
      <c r="M9" s="69"/>
      <c r="N9" s="69"/>
      <c r="O9" s="69"/>
      <c r="P9" s="69"/>
    </row>
    <row r="10" spans="2:16" ht="15" customHeight="1" x14ac:dyDescent="0.25">
      <c r="B10" s="571">
        <v>2000</v>
      </c>
      <c r="C10" s="29">
        <f t="shared" si="0"/>
        <v>63715</v>
      </c>
      <c r="D10" s="17">
        <f t="shared" si="0"/>
        <v>64650</v>
      </c>
      <c r="E10" s="17"/>
      <c r="F10" s="17">
        <f t="shared" si="1"/>
        <v>10733</v>
      </c>
      <c r="G10" s="17">
        <f t="shared" si="1"/>
        <v>3740</v>
      </c>
      <c r="H10" s="17">
        <f t="shared" si="1"/>
        <v>172230</v>
      </c>
      <c r="I10" s="138">
        <f t="shared" si="1"/>
        <v>19950</v>
      </c>
      <c r="J10" s="18">
        <f t="shared" si="1"/>
        <v>33192</v>
      </c>
      <c r="K10" s="69"/>
      <c r="L10" s="141"/>
      <c r="M10" s="69"/>
      <c r="N10" s="69"/>
      <c r="O10" s="69"/>
      <c r="P10" s="69"/>
    </row>
    <row r="11" spans="2:16" ht="15" customHeight="1" x14ac:dyDescent="0.25">
      <c r="B11" s="571">
        <v>2001</v>
      </c>
      <c r="C11" s="29">
        <f t="shared" si="0"/>
        <v>31118</v>
      </c>
      <c r="D11" s="17">
        <f t="shared" si="0"/>
        <v>106852</v>
      </c>
      <c r="E11" s="17"/>
      <c r="F11" s="17"/>
      <c r="G11" s="17">
        <f>+G38+G63+G88+G113</f>
        <v>3040</v>
      </c>
      <c r="H11" s="17">
        <f>+H38+H63+H88+H113</f>
        <v>175220</v>
      </c>
      <c r="I11" s="138">
        <f>+I38+I63+I88+I113</f>
        <v>44730</v>
      </c>
      <c r="J11" s="18">
        <f>+J38+J63+J88+J113</f>
        <v>73551</v>
      </c>
      <c r="K11" s="69"/>
      <c r="L11" s="69"/>
      <c r="M11" s="69"/>
      <c r="N11" s="69"/>
      <c r="O11" s="69"/>
      <c r="P11" s="69"/>
    </row>
    <row r="12" spans="2:16" ht="15" customHeight="1" x14ac:dyDescent="0.25">
      <c r="B12" s="571">
        <v>2002</v>
      </c>
      <c r="C12" s="29"/>
      <c r="D12" s="17">
        <f t="shared" ref="D12:D31" si="2">+D39+D64+D89+D114</f>
        <v>140817</v>
      </c>
      <c r="E12" s="17"/>
      <c r="F12" s="17"/>
      <c r="G12" s="17">
        <f t="shared" ref="G12:H31" si="3">+G39+G64+G89+G114</f>
        <v>3223</v>
      </c>
      <c r="H12" s="17">
        <f t="shared" si="3"/>
        <v>180186</v>
      </c>
      <c r="I12" s="138">
        <f>+I64+I89+I114+I39</f>
        <v>49777</v>
      </c>
      <c r="J12" s="18">
        <f t="shared" ref="J12:J31" si="4">+J39+J64+J89+J114</f>
        <v>72213</v>
      </c>
      <c r="K12" s="69"/>
      <c r="L12" s="69"/>
      <c r="M12" s="69"/>
      <c r="N12" s="69"/>
      <c r="O12" s="69"/>
      <c r="P12" s="69"/>
    </row>
    <row r="13" spans="2:16" ht="15" customHeight="1" x14ac:dyDescent="0.25">
      <c r="B13" s="571">
        <v>2003</v>
      </c>
      <c r="C13" s="29"/>
      <c r="D13" s="17">
        <f t="shared" si="2"/>
        <v>144104</v>
      </c>
      <c r="E13" s="17"/>
      <c r="F13" s="17"/>
      <c r="G13" s="17">
        <f t="shared" si="3"/>
        <v>3407</v>
      </c>
      <c r="H13" s="17">
        <f t="shared" si="3"/>
        <v>202815</v>
      </c>
      <c r="I13" s="138">
        <f t="shared" ref="I13:I18" si="5">+I40+I65+I90+I115</f>
        <v>44688</v>
      </c>
      <c r="J13" s="18">
        <f t="shared" si="4"/>
        <v>114645</v>
      </c>
      <c r="K13" s="69"/>
      <c r="L13" s="69"/>
      <c r="M13" s="69"/>
      <c r="N13" s="69"/>
      <c r="O13" s="69"/>
      <c r="P13" s="69"/>
    </row>
    <row r="14" spans="2:16" ht="15" customHeight="1" x14ac:dyDescent="0.25">
      <c r="B14" s="571">
        <v>2004</v>
      </c>
      <c r="C14" s="29"/>
      <c r="D14" s="17">
        <f t="shared" si="2"/>
        <v>152161</v>
      </c>
      <c r="E14" s="17"/>
      <c r="F14" s="17"/>
      <c r="G14" s="17">
        <f t="shared" si="3"/>
        <v>2079</v>
      </c>
      <c r="H14" s="17">
        <f t="shared" si="3"/>
        <v>212312</v>
      </c>
      <c r="I14" s="138">
        <f t="shared" si="5"/>
        <v>16207</v>
      </c>
      <c r="J14" s="18">
        <f t="shared" si="4"/>
        <v>103328</v>
      </c>
      <c r="K14" s="69"/>
      <c r="L14" s="69"/>
      <c r="M14" s="69"/>
      <c r="N14" s="69"/>
      <c r="O14" s="69"/>
      <c r="P14" s="69"/>
    </row>
    <row r="15" spans="2:16" ht="15" customHeight="1" x14ac:dyDescent="0.25">
      <c r="B15" s="571">
        <v>2005</v>
      </c>
      <c r="C15" s="29"/>
      <c r="D15" s="17">
        <f t="shared" si="2"/>
        <v>146100</v>
      </c>
      <c r="E15" s="17"/>
      <c r="F15" s="17"/>
      <c r="G15" s="17">
        <f t="shared" si="3"/>
        <v>1231</v>
      </c>
      <c r="H15" s="17">
        <f t="shared" si="3"/>
        <v>200809</v>
      </c>
      <c r="I15" s="17">
        <f t="shared" si="5"/>
        <v>6424</v>
      </c>
      <c r="J15" s="18">
        <f t="shared" si="4"/>
        <v>118826</v>
      </c>
      <c r="K15" s="69"/>
      <c r="L15" s="69"/>
      <c r="M15" s="69"/>
      <c r="N15" s="69"/>
      <c r="O15" s="69"/>
      <c r="P15" s="69"/>
    </row>
    <row r="16" spans="2:16" ht="15" customHeight="1" x14ac:dyDescent="0.25">
      <c r="B16" s="571">
        <v>2006</v>
      </c>
      <c r="C16" s="29"/>
      <c r="D16" s="17">
        <f t="shared" si="2"/>
        <v>148310</v>
      </c>
      <c r="E16" s="17"/>
      <c r="F16" s="17"/>
      <c r="G16" s="17">
        <f t="shared" si="3"/>
        <v>825</v>
      </c>
      <c r="H16" s="17">
        <f t="shared" si="3"/>
        <v>201026</v>
      </c>
      <c r="I16" s="17">
        <f t="shared" si="5"/>
        <v>9295</v>
      </c>
      <c r="J16" s="18">
        <f t="shared" si="4"/>
        <v>127690</v>
      </c>
      <c r="K16" s="69"/>
      <c r="L16" s="69"/>
      <c r="M16" s="69"/>
      <c r="N16" s="69"/>
      <c r="O16" s="69"/>
      <c r="P16" s="69"/>
    </row>
    <row r="17" spans="2:16" ht="15" customHeight="1" x14ac:dyDescent="0.25">
      <c r="B17" s="571">
        <v>2007</v>
      </c>
      <c r="C17" s="29"/>
      <c r="D17" s="17">
        <f t="shared" si="2"/>
        <v>163695</v>
      </c>
      <c r="E17" s="17"/>
      <c r="F17" s="17"/>
      <c r="G17" s="17">
        <f t="shared" si="3"/>
        <v>602</v>
      </c>
      <c r="H17" s="17">
        <f t="shared" si="3"/>
        <v>264539</v>
      </c>
      <c r="I17" s="17">
        <f t="shared" si="5"/>
        <v>12050</v>
      </c>
      <c r="J17" s="18">
        <f t="shared" si="4"/>
        <v>122567</v>
      </c>
      <c r="K17" s="69"/>
      <c r="L17" s="69"/>
      <c r="M17" s="69"/>
      <c r="N17" s="69"/>
      <c r="O17" s="69"/>
      <c r="P17" s="69"/>
    </row>
    <row r="18" spans="2:16" ht="15" customHeight="1" x14ac:dyDescent="0.25">
      <c r="B18" s="571">
        <v>2008</v>
      </c>
      <c r="C18" s="29"/>
      <c r="D18" s="17">
        <f t="shared" si="2"/>
        <v>170182</v>
      </c>
      <c r="E18" s="17"/>
      <c r="F18" s="17"/>
      <c r="G18" s="17">
        <f t="shared" si="3"/>
        <v>499</v>
      </c>
      <c r="H18" s="17">
        <f t="shared" si="3"/>
        <v>285124</v>
      </c>
      <c r="I18" s="17">
        <f t="shared" si="5"/>
        <v>0</v>
      </c>
      <c r="J18" s="18">
        <f t="shared" si="4"/>
        <v>102948</v>
      </c>
      <c r="K18" s="69"/>
      <c r="L18" s="69"/>
      <c r="M18" s="69"/>
      <c r="N18" s="69"/>
      <c r="O18" s="69"/>
      <c r="P18" s="69"/>
    </row>
    <row r="19" spans="2:16" ht="15" customHeight="1" x14ac:dyDescent="0.25">
      <c r="B19" s="571">
        <v>2009</v>
      </c>
      <c r="C19" s="29"/>
      <c r="D19" s="17">
        <f t="shared" si="2"/>
        <v>197475</v>
      </c>
      <c r="E19" s="17"/>
      <c r="F19" s="17"/>
      <c r="G19" s="17">
        <f t="shared" si="3"/>
        <v>873</v>
      </c>
      <c r="H19" s="17">
        <f t="shared" si="3"/>
        <v>285788</v>
      </c>
      <c r="I19" s="17">
        <v>0</v>
      </c>
      <c r="J19" s="18">
        <f t="shared" si="4"/>
        <v>85231</v>
      </c>
      <c r="K19" s="69"/>
      <c r="L19" s="69"/>
      <c r="M19" s="69"/>
      <c r="N19" s="69"/>
      <c r="O19" s="69"/>
      <c r="P19" s="69"/>
    </row>
    <row r="20" spans="2:16" ht="15" customHeight="1" x14ac:dyDescent="0.25">
      <c r="B20" s="571">
        <v>2010</v>
      </c>
      <c r="C20" s="29"/>
      <c r="D20" s="17">
        <f t="shared" si="2"/>
        <v>211607</v>
      </c>
      <c r="E20" s="17"/>
      <c r="F20" s="17"/>
      <c r="G20" s="17">
        <f t="shared" si="3"/>
        <v>2574</v>
      </c>
      <c r="H20" s="17">
        <f t="shared" si="3"/>
        <v>330023</v>
      </c>
      <c r="I20" s="17">
        <v>0</v>
      </c>
      <c r="J20" s="18">
        <f t="shared" si="4"/>
        <v>104691</v>
      </c>
      <c r="K20" s="69"/>
      <c r="L20" s="69"/>
      <c r="M20" s="69"/>
      <c r="N20" s="69"/>
      <c r="O20" s="69"/>
      <c r="P20" s="69"/>
    </row>
    <row r="21" spans="2:16" ht="15" customHeight="1" x14ac:dyDescent="0.25">
      <c r="B21" s="571">
        <v>2011</v>
      </c>
      <c r="C21" s="29"/>
      <c r="D21" s="17">
        <f t="shared" si="2"/>
        <v>220395</v>
      </c>
      <c r="E21" s="17"/>
      <c r="F21" s="17"/>
      <c r="G21" s="17">
        <f t="shared" si="3"/>
        <v>982</v>
      </c>
      <c r="H21" s="17">
        <f t="shared" si="3"/>
        <v>378767</v>
      </c>
      <c r="I21" s="17">
        <f>+I48+I73+I98+I123</f>
        <v>0</v>
      </c>
      <c r="J21" s="18">
        <f t="shared" si="4"/>
        <v>114946</v>
      </c>
      <c r="K21" s="69"/>
      <c r="L21" s="69"/>
      <c r="M21" s="69"/>
      <c r="N21" s="69"/>
      <c r="O21" s="69"/>
      <c r="P21" s="69"/>
    </row>
    <row r="22" spans="2:16" ht="15" customHeight="1" x14ac:dyDescent="0.25">
      <c r="B22" s="571">
        <v>2012</v>
      </c>
      <c r="C22" s="29"/>
      <c r="D22" s="17">
        <f t="shared" si="2"/>
        <v>233892</v>
      </c>
      <c r="E22" s="17"/>
      <c r="F22" s="17"/>
      <c r="G22" s="17">
        <f t="shared" si="3"/>
        <v>415</v>
      </c>
      <c r="H22" s="17">
        <f t="shared" si="3"/>
        <v>353421</v>
      </c>
      <c r="I22" s="17"/>
      <c r="J22" s="18">
        <f t="shared" si="4"/>
        <v>120826</v>
      </c>
      <c r="K22" s="69"/>
      <c r="L22" s="69"/>
      <c r="M22" s="69"/>
      <c r="N22" s="69"/>
      <c r="O22" s="69"/>
      <c r="P22" s="69"/>
    </row>
    <row r="23" spans="2:16" ht="15" customHeight="1" x14ac:dyDescent="0.25">
      <c r="B23" s="571">
        <v>2013</v>
      </c>
      <c r="C23" s="29"/>
      <c r="D23" s="17">
        <f t="shared" si="2"/>
        <v>196025</v>
      </c>
      <c r="E23" s="17">
        <f>+E50+E75+E100+E125</f>
        <v>48106</v>
      </c>
      <c r="F23" s="17"/>
      <c r="G23" s="17">
        <f t="shared" si="3"/>
        <v>309</v>
      </c>
      <c r="H23" s="17">
        <f t="shared" si="3"/>
        <v>378107</v>
      </c>
      <c r="I23" s="17"/>
      <c r="J23" s="18">
        <f t="shared" si="4"/>
        <v>101530</v>
      </c>
      <c r="K23" s="69"/>
      <c r="L23" s="69"/>
      <c r="M23" s="69"/>
      <c r="N23" s="69"/>
      <c r="O23" s="69"/>
      <c r="P23" s="69"/>
    </row>
    <row r="24" spans="2:16" ht="15" customHeight="1" x14ac:dyDescent="0.25">
      <c r="B24" s="571">
        <v>2014</v>
      </c>
      <c r="C24" s="29"/>
      <c r="D24" s="17">
        <f t="shared" si="2"/>
        <v>127675</v>
      </c>
      <c r="E24" s="17">
        <f>+E51+E76+E101+E126</f>
        <v>135439</v>
      </c>
      <c r="F24" s="17"/>
      <c r="G24" s="17">
        <f t="shared" si="3"/>
        <v>330</v>
      </c>
      <c r="H24" s="17">
        <f t="shared" si="3"/>
        <v>433382</v>
      </c>
      <c r="I24" s="17"/>
      <c r="J24" s="18">
        <f t="shared" si="4"/>
        <v>55073</v>
      </c>
      <c r="K24" s="69"/>
      <c r="L24" s="69"/>
      <c r="M24" s="69"/>
      <c r="N24" s="69"/>
      <c r="O24" s="69"/>
      <c r="P24" s="69"/>
    </row>
    <row r="25" spans="2:16" ht="15" customHeight="1" x14ac:dyDescent="0.25">
      <c r="B25" s="571">
        <v>2015</v>
      </c>
      <c r="C25" s="29"/>
      <c r="D25" s="17">
        <f t="shared" si="2"/>
        <v>288230</v>
      </c>
      <c r="E25" s="17"/>
      <c r="F25" s="17"/>
      <c r="G25" s="17">
        <f t="shared" si="3"/>
        <v>246</v>
      </c>
      <c r="H25" s="17">
        <f t="shared" si="3"/>
        <v>361974</v>
      </c>
      <c r="I25" s="17"/>
      <c r="J25" s="18">
        <f t="shared" si="4"/>
        <v>119012</v>
      </c>
      <c r="K25" s="69"/>
      <c r="L25" s="69"/>
      <c r="M25" s="69"/>
      <c r="N25" s="69"/>
      <c r="O25" s="69"/>
      <c r="P25" s="69"/>
    </row>
    <row r="26" spans="2:16" ht="15" customHeight="1" x14ac:dyDescent="0.25">
      <c r="B26" s="571">
        <v>2016</v>
      </c>
      <c r="C26" s="29"/>
      <c r="D26" s="17">
        <f t="shared" si="2"/>
        <v>310013</v>
      </c>
      <c r="E26" s="17"/>
      <c r="F26" s="17"/>
      <c r="G26" s="17">
        <f t="shared" si="3"/>
        <v>301</v>
      </c>
      <c r="H26" s="17">
        <f t="shared" si="3"/>
        <v>350717</v>
      </c>
      <c r="I26" s="17"/>
      <c r="J26" s="18">
        <f t="shared" si="4"/>
        <v>133652</v>
      </c>
      <c r="K26" s="69"/>
      <c r="L26" s="69"/>
      <c r="M26" s="69"/>
      <c r="N26" s="69"/>
      <c r="O26" s="69"/>
      <c r="P26" s="69"/>
    </row>
    <row r="27" spans="2:16" ht="15" customHeight="1" x14ac:dyDescent="0.25">
      <c r="B27" s="571">
        <v>2017</v>
      </c>
      <c r="C27" s="29"/>
      <c r="D27" s="17">
        <f t="shared" si="2"/>
        <v>327795</v>
      </c>
      <c r="E27" s="17"/>
      <c r="F27" s="17"/>
      <c r="G27" s="17">
        <f t="shared" si="3"/>
        <v>308</v>
      </c>
      <c r="H27" s="17">
        <f t="shared" si="3"/>
        <v>370205</v>
      </c>
      <c r="I27" s="17"/>
      <c r="J27" s="18">
        <f t="shared" si="4"/>
        <v>114030</v>
      </c>
      <c r="K27" s="69"/>
      <c r="L27" s="69"/>
      <c r="M27" s="69"/>
      <c r="N27" s="69"/>
      <c r="O27" s="69"/>
      <c r="P27" s="69"/>
    </row>
    <row r="28" spans="2:16" ht="15" customHeight="1" x14ac:dyDescent="0.25">
      <c r="B28" s="571">
        <v>2018</v>
      </c>
      <c r="C28" s="29"/>
      <c r="D28" s="17">
        <f t="shared" si="2"/>
        <v>330765</v>
      </c>
      <c r="E28" s="17"/>
      <c r="F28" s="17"/>
      <c r="G28" s="17">
        <f t="shared" si="3"/>
        <v>289</v>
      </c>
      <c r="H28" s="17">
        <f t="shared" si="3"/>
        <v>365939</v>
      </c>
      <c r="I28" s="17"/>
      <c r="J28" s="18">
        <f t="shared" si="4"/>
        <v>59618</v>
      </c>
      <c r="K28" s="69"/>
      <c r="L28" s="69"/>
      <c r="M28" s="69"/>
      <c r="N28" s="69"/>
      <c r="O28" s="69"/>
      <c r="P28" s="69"/>
    </row>
    <row r="29" spans="2:16" ht="15" customHeight="1" x14ac:dyDescent="0.25">
      <c r="B29" s="571">
        <v>2019</v>
      </c>
      <c r="C29" s="29"/>
      <c r="D29" s="17">
        <f t="shared" si="2"/>
        <v>339421</v>
      </c>
      <c r="E29" s="17"/>
      <c r="F29" s="17"/>
      <c r="G29" s="17">
        <f t="shared" si="3"/>
        <v>277</v>
      </c>
      <c r="H29" s="17">
        <f t="shared" si="3"/>
        <v>368537</v>
      </c>
      <c r="I29" s="17"/>
      <c r="J29" s="18">
        <f t="shared" si="4"/>
        <v>66377</v>
      </c>
      <c r="K29" s="69"/>
      <c r="L29" s="69"/>
      <c r="M29" s="69"/>
      <c r="N29" s="69"/>
      <c r="O29" s="69"/>
      <c r="P29" s="69"/>
    </row>
    <row r="30" spans="2:16" ht="15" customHeight="1" x14ac:dyDescent="0.25">
      <c r="B30" s="571">
        <v>2020</v>
      </c>
      <c r="C30" s="29"/>
      <c r="D30" s="17">
        <f t="shared" si="2"/>
        <v>241640</v>
      </c>
      <c r="E30" s="17"/>
      <c r="F30" s="17"/>
      <c r="G30" s="17">
        <f t="shared" si="3"/>
        <v>299</v>
      </c>
      <c r="H30" s="17">
        <f t="shared" si="3"/>
        <v>273706</v>
      </c>
      <c r="I30" s="17"/>
      <c r="J30" s="18">
        <f t="shared" si="4"/>
        <v>20480</v>
      </c>
      <c r="K30" s="69"/>
      <c r="L30" s="69"/>
      <c r="M30" s="69"/>
      <c r="N30" s="69"/>
      <c r="O30" s="69"/>
      <c r="P30" s="69"/>
    </row>
    <row r="31" spans="2:16" ht="15" customHeight="1" x14ac:dyDescent="0.25">
      <c r="B31" s="571">
        <v>2021</v>
      </c>
      <c r="C31" s="29"/>
      <c r="D31" s="17">
        <f t="shared" si="2"/>
        <v>310218</v>
      </c>
      <c r="E31" s="17"/>
      <c r="F31" s="17"/>
      <c r="G31" s="17">
        <f t="shared" si="3"/>
        <v>297</v>
      </c>
      <c r="H31" s="17">
        <f t="shared" si="3"/>
        <v>343216</v>
      </c>
      <c r="I31" s="17"/>
      <c r="J31" s="18">
        <f t="shared" si="4"/>
        <v>25668</v>
      </c>
      <c r="K31" s="69"/>
      <c r="L31" s="69"/>
      <c r="M31" s="69"/>
      <c r="N31" s="69"/>
      <c r="O31" s="69"/>
      <c r="P31" s="69"/>
    </row>
    <row r="32" spans="2:16" ht="15" customHeight="1" x14ac:dyDescent="0.25">
      <c r="B32" s="572" t="s">
        <v>92</v>
      </c>
      <c r="C32" s="315"/>
      <c r="D32" s="142">
        <f>RATE(-22,,-D31,D9)</f>
        <v>9.0355535388880859E-2</v>
      </c>
      <c r="E32" s="142"/>
      <c r="F32" s="20"/>
      <c r="G32" s="142"/>
      <c r="H32" s="142">
        <f>RATE(-22,,-H31,H9)</f>
        <v>2.9489798996932361E-2</v>
      </c>
      <c r="I32" s="142"/>
      <c r="J32" s="826" t="e">
        <f>RATE(-22,,-J31,J9)</f>
        <v>#NUM!</v>
      </c>
      <c r="K32" s="145"/>
      <c r="L32"/>
      <c r="M32" s="70"/>
      <c r="N32" s="70"/>
      <c r="O32" s="70"/>
      <c r="P32" s="70"/>
    </row>
    <row r="33" spans="2:16" ht="15" customHeight="1" thickBot="1" x14ac:dyDescent="0.3">
      <c r="B33" s="573"/>
      <c r="C33" s="316"/>
      <c r="D33" s="73"/>
      <c r="E33" s="73"/>
      <c r="F33" s="73"/>
      <c r="G33" s="73"/>
      <c r="H33" s="73"/>
      <c r="I33" s="146"/>
      <c r="J33" s="27"/>
      <c r="K33" s="70"/>
      <c r="L33" s="70"/>
      <c r="M33" s="70"/>
      <c r="N33" s="70"/>
      <c r="O33" s="70"/>
      <c r="P33" s="70"/>
    </row>
    <row r="34" spans="2:16" ht="15" customHeight="1" x14ac:dyDescent="0.25">
      <c r="B34" s="574"/>
      <c r="C34" s="317"/>
      <c r="D34" s="15"/>
      <c r="E34" s="15"/>
      <c r="F34" s="15"/>
      <c r="G34" s="15"/>
      <c r="H34" s="15"/>
      <c r="I34" s="136"/>
      <c r="J34" s="16"/>
      <c r="K34" s="12"/>
      <c r="L34" s="12"/>
      <c r="M34" s="12"/>
      <c r="N34" s="12"/>
      <c r="O34" s="12"/>
      <c r="P34" s="12"/>
    </row>
    <row r="35" spans="2:16" ht="15" customHeight="1" x14ac:dyDescent="0.25">
      <c r="B35" s="570" t="s">
        <v>115</v>
      </c>
      <c r="C35" s="30"/>
      <c r="D35" s="11"/>
      <c r="E35" s="11"/>
      <c r="F35" s="11"/>
      <c r="G35" s="11"/>
      <c r="H35" s="11"/>
      <c r="I35" s="137"/>
      <c r="J35" s="10"/>
      <c r="K35" s="12"/>
      <c r="L35" s="12"/>
      <c r="M35" s="12"/>
      <c r="N35" s="12"/>
      <c r="O35" s="12"/>
      <c r="P35" s="12"/>
    </row>
    <row r="36" spans="2:16" ht="15" customHeight="1" x14ac:dyDescent="0.25">
      <c r="B36" s="575">
        <v>1999</v>
      </c>
      <c r="C36" s="30">
        <v>21886</v>
      </c>
      <c r="D36" s="11">
        <v>10279</v>
      </c>
      <c r="E36" s="11"/>
      <c r="F36" s="11">
        <v>3176</v>
      </c>
      <c r="G36" s="11">
        <v>1392</v>
      </c>
      <c r="H36" s="11">
        <v>46573</v>
      </c>
      <c r="I36" s="137">
        <v>7560</v>
      </c>
      <c r="J36" s="10">
        <v>25477</v>
      </c>
      <c r="K36" s="60"/>
      <c r="L36" s="60"/>
      <c r="M36" s="60"/>
      <c r="N36" s="60"/>
      <c r="O36" s="60"/>
      <c r="P36" s="69"/>
    </row>
    <row r="37" spans="2:16" ht="15" customHeight="1" x14ac:dyDescent="0.25">
      <c r="B37" s="575">
        <v>2000</v>
      </c>
      <c r="C37" s="30">
        <v>18400</v>
      </c>
      <c r="D37" s="11">
        <v>13461</v>
      </c>
      <c r="E37" s="11"/>
      <c r="F37" s="11">
        <v>2822</v>
      </c>
      <c r="G37" s="11">
        <v>1175</v>
      </c>
      <c r="H37" s="11">
        <v>42612</v>
      </c>
      <c r="I37" s="137">
        <v>4200</v>
      </c>
      <c r="J37" s="10">
        <v>7852</v>
      </c>
      <c r="K37" s="60"/>
      <c r="L37" s="60"/>
      <c r="M37" s="60"/>
      <c r="N37" s="60"/>
      <c r="O37" s="60"/>
      <c r="P37" s="69"/>
    </row>
    <row r="38" spans="2:16" ht="15" customHeight="1" x14ac:dyDescent="0.25">
      <c r="B38" s="575">
        <v>2001</v>
      </c>
      <c r="C38" s="30">
        <v>11671</v>
      </c>
      <c r="D38" s="11">
        <f>19965+2278</f>
        <v>22243</v>
      </c>
      <c r="E38" s="11"/>
      <c r="F38" s="11"/>
      <c r="G38" s="11">
        <v>735</v>
      </c>
      <c r="H38" s="11">
        <v>42883</v>
      </c>
      <c r="I38" s="137">
        <v>6510</v>
      </c>
      <c r="J38" s="10">
        <v>14571</v>
      </c>
      <c r="K38" s="60"/>
      <c r="L38" s="60"/>
      <c r="M38" s="60"/>
      <c r="N38" s="60"/>
      <c r="O38" s="60"/>
      <c r="P38" s="69"/>
    </row>
    <row r="39" spans="2:16" ht="15" customHeight="1" x14ac:dyDescent="0.25">
      <c r="B39" s="575">
        <v>2002</v>
      </c>
      <c r="C39" s="30"/>
      <c r="D39" s="11">
        <f>12550+20440+2208</f>
        <v>35198</v>
      </c>
      <c r="E39" s="11"/>
      <c r="F39" s="11"/>
      <c r="G39" s="11">
        <v>729</v>
      </c>
      <c r="H39" s="11">
        <v>44042</v>
      </c>
      <c r="I39" s="137">
        <v>15540</v>
      </c>
      <c r="J39" s="10">
        <v>22802</v>
      </c>
      <c r="K39" s="60"/>
      <c r="L39" s="60"/>
      <c r="M39" s="60"/>
      <c r="N39" s="60"/>
      <c r="O39" s="60"/>
      <c r="P39" s="69"/>
    </row>
    <row r="40" spans="2:16" ht="15" customHeight="1" x14ac:dyDescent="0.25">
      <c r="B40" s="575">
        <v>2003</v>
      </c>
      <c r="C40" s="30"/>
      <c r="D40" s="11">
        <f>12336+21964+27</f>
        <v>34327</v>
      </c>
      <c r="E40" s="11"/>
      <c r="F40" s="11"/>
      <c r="G40" s="11">
        <v>603</v>
      </c>
      <c r="H40" s="11">
        <v>49472</v>
      </c>
      <c r="I40" s="137">
        <v>10614</v>
      </c>
      <c r="J40" s="10">
        <v>30869</v>
      </c>
      <c r="K40" s="60"/>
      <c r="L40" s="60"/>
      <c r="M40" s="60"/>
      <c r="N40" s="60"/>
      <c r="O40" s="60"/>
      <c r="P40" s="69"/>
    </row>
    <row r="41" spans="2:16" ht="15" customHeight="1" x14ac:dyDescent="0.25">
      <c r="B41" s="575">
        <v>2004</v>
      </c>
      <c r="C41" s="30"/>
      <c r="D41" s="11">
        <v>41502</v>
      </c>
      <c r="E41" s="11"/>
      <c r="F41" s="11"/>
      <c r="G41" s="11">
        <v>609</v>
      </c>
      <c r="H41" s="11">
        <v>57801</v>
      </c>
      <c r="I41" s="137">
        <v>8020</v>
      </c>
      <c r="J41" s="10">
        <v>31031</v>
      </c>
      <c r="K41" s="60"/>
      <c r="L41" s="60"/>
      <c r="M41" s="60"/>
      <c r="N41" s="60"/>
      <c r="O41" s="60"/>
      <c r="P41" s="69"/>
    </row>
    <row r="42" spans="2:16" ht="15" customHeight="1" x14ac:dyDescent="0.25">
      <c r="B42" s="575">
        <v>2005</v>
      </c>
      <c r="C42" s="30"/>
      <c r="D42" s="11">
        <v>36822</v>
      </c>
      <c r="E42" s="11"/>
      <c r="F42" s="11"/>
      <c r="G42" s="11">
        <v>417</v>
      </c>
      <c r="H42" s="11">
        <v>51330</v>
      </c>
      <c r="I42" s="137">
        <v>15</v>
      </c>
      <c r="J42" s="10">
        <v>26058</v>
      </c>
      <c r="K42" s="60"/>
      <c r="L42" s="60"/>
      <c r="M42" s="60"/>
      <c r="N42" s="60"/>
      <c r="O42" s="60"/>
      <c r="P42" s="69"/>
    </row>
    <row r="43" spans="2:16" ht="15" customHeight="1" x14ac:dyDescent="0.25">
      <c r="B43" s="575">
        <v>2006</v>
      </c>
      <c r="C43" s="30"/>
      <c r="D43" s="11">
        <f>11781+11308+13676</f>
        <v>36765</v>
      </c>
      <c r="E43" s="11"/>
      <c r="F43" s="11"/>
      <c r="G43" s="11">
        <v>251</v>
      </c>
      <c r="H43" s="11">
        <f>39220+12240</f>
        <v>51460</v>
      </c>
      <c r="I43" s="137">
        <v>2965</v>
      </c>
      <c r="J43" s="10">
        <v>31339</v>
      </c>
      <c r="K43" s="60"/>
      <c r="L43" s="60"/>
      <c r="M43" s="60"/>
      <c r="N43" s="60"/>
      <c r="O43" s="60"/>
      <c r="P43" s="69"/>
    </row>
    <row r="44" spans="2:16" ht="15" customHeight="1" x14ac:dyDescent="0.25">
      <c r="B44" s="575">
        <v>2007</v>
      </c>
      <c r="C44" s="30"/>
      <c r="D44" s="11">
        <f>13267+12559+14504</f>
        <v>40330</v>
      </c>
      <c r="E44" s="11"/>
      <c r="F44" s="11"/>
      <c r="G44" s="11">
        <v>175</v>
      </c>
      <c r="H44" s="11">
        <v>66561</v>
      </c>
      <c r="I44" s="137">
        <f>4819+2693+2941</f>
        <v>10453</v>
      </c>
      <c r="J44" s="10">
        <v>35634</v>
      </c>
      <c r="K44" s="60"/>
      <c r="L44" s="60"/>
      <c r="M44" s="60"/>
      <c r="N44" s="60"/>
      <c r="O44" s="60"/>
      <c r="P44" s="69"/>
    </row>
    <row r="45" spans="2:16" ht="15" customHeight="1" x14ac:dyDescent="0.25">
      <c r="B45" s="575">
        <v>2008</v>
      </c>
      <c r="C45" s="30"/>
      <c r="D45" s="11">
        <v>41819</v>
      </c>
      <c r="E45" s="11"/>
      <c r="F45" s="11"/>
      <c r="G45" s="11">
        <v>129</v>
      </c>
      <c r="H45" s="11">
        <v>72590</v>
      </c>
      <c r="I45" s="137"/>
      <c r="J45" s="10">
        <v>24198</v>
      </c>
      <c r="K45" s="60"/>
      <c r="L45" s="60"/>
      <c r="M45" s="60"/>
      <c r="N45" s="60"/>
      <c r="O45" s="60"/>
      <c r="P45" s="69"/>
    </row>
    <row r="46" spans="2:16" ht="15" customHeight="1" x14ac:dyDescent="0.25">
      <c r="B46" s="576">
        <v>2009</v>
      </c>
      <c r="C46" s="30"/>
      <c r="D46" s="11">
        <v>48346</v>
      </c>
      <c r="E46" s="11"/>
      <c r="F46" s="11"/>
      <c r="G46" s="11">
        <v>196</v>
      </c>
      <c r="H46" s="11">
        <v>69717</v>
      </c>
      <c r="I46" s="137"/>
      <c r="J46" s="10">
        <v>19744</v>
      </c>
      <c r="K46" s="60"/>
      <c r="L46" s="60"/>
      <c r="M46" s="60"/>
      <c r="N46" s="60"/>
      <c r="O46" s="60"/>
      <c r="P46" s="69"/>
    </row>
    <row r="47" spans="2:16" ht="15" customHeight="1" x14ac:dyDescent="0.25">
      <c r="B47" s="576">
        <v>2010</v>
      </c>
      <c r="C47" s="30"/>
      <c r="D47" s="11">
        <v>50532</v>
      </c>
      <c r="E47" s="11"/>
      <c r="F47" s="11"/>
      <c r="G47" s="11">
        <v>412</v>
      </c>
      <c r="H47" s="11">
        <v>91504</v>
      </c>
      <c r="I47" s="137"/>
      <c r="J47" s="10">
        <v>29682</v>
      </c>
      <c r="K47" s="60"/>
      <c r="L47" s="60"/>
      <c r="M47" s="60"/>
      <c r="N47" s="60"/>
      <c r="O47" s="60"/>
      <c r="P47" s="69"/>
    </row>
    <row r="48" spans="2:16" ht="15" customHeight="1" x14ac:dyDescent="0.25">
      <c r="B48" s="576">
        <v>2011</v>
      </c>
      <c r="C48" s="30"/>
      <c r="D48" s="11">
        <v>53416</v>
      </c>
      <c r="E48" s="11"/>
      <c r="F48" s="11"/>
      <c r="G48" s="11">
        <v>529</v>
      </c>
      <c r="H48" s="11">
        <v>92210</v>
      </c>
      <c r="I48" s="137"/>
      <c r="J48" s="10">
        <v>28696</v>
      </c>
      <c r="K48" s="60"/>
      <c r="L48" s="60"/>
      <c r="M48" s="60"/>
      <c r="N48" s="60"/>
      <c r="O48" s="60"/>
      <c r="P48" s="69"/>
    </row>
    <row r="49" spans="2:16" ht="15" customHeight="1" x14ac:dyDescent="0.25">
      <c r="B49" s="576">
        <v>2012</v>
      </c>
      <c r="C49" s="30"/>
      <c r="D49" s="11">
        <v>57651</v>
      </c>
      <c r="E49" s="11"/>
      <c r="F49" s="11"/>
      <c r="G49" s="11">
        <v>116</v>
      </c>
      <c r="H49" s="11">
        <v>98122</v>
      </c>
      <c r="I49" s="137"/>
      <c r="J49" s="10">
        <v>23760</v>
      </c>
      <c r="K49" s="60"/>
      <c r="L49" s="60"/>
      <c r="M49" s="60"/>
      <c r="N49" s="60"/>
      <c r="O49" s="60"/>
      <c r="P49" s="69"/>
    </row>
    <row r="50" spans="2:16" ht="15" customHeight="1" x14ac:dyDescent="0.25">
      <c r="B50" s="576">
        <v>2013</v>
      </c>
      <c r="C50" s="30"/>
      <c r="D50" s="11">
        <v>57569</v>
      </c>
      <c r="E50" s="11"/>
      <c r="F50" s="11"/>
      <c r="G50" s="11">
        <v>66</v>
      </c>
      <c r="H50" s="11">
        <v>94211</v>
      </c>
      <c r="I50" s="137"/>
      <c r="J50" s="10">
        <v>26181</v>
      </c>
      <c r="K50" s="60"/>
      <c r="L50" s="60"/>
      <c r="M50" s="60"/>
      <c r="N50" s="60"/>
      <c r="O50" s="60"/>
      <c r="P50" s="69"/>
    </row>
    <row r="51" spans="2:16" ht="15" customHeight="1" x14ac:dyDescent="0.25">
      <c r="B51" s="576">
        <v>2014</v>
      </c>
      <c r="C51" s="30"/>
      <c r="D51" s="11">
        <v>25121</v>
      </c>
      <c r="E51" s="11">
        <v>38337</v>
      </c>
      <c r="F51" s="11"/>
      <c r="G51" s="11">
        <v>91</v>
      </c>
      <c r="H51" s="11">
        <v>116183</v>
      </c>
      <c r="I51" s="137"/>
      <c r="J51" s="10">
        <v>19494</v>
      </c>
      <c r="K51" s="60"/>
      <c r="L51" s="60"/>
      <c r="M51" s="60"/>
      <c r="N51" s="60"/>
      <c r="O51" s="60"/>
      <c r="P51" s="69"/>
    </row>
    <row r="52" spans="2:16" ht="15" customHeight="1" x14ac:dyDescent="0.25">
      <c r="B52" s="576">
        <v>2015</v>
      </c>
      <c r="C52" s="30"/>
      <c r="D52" s="11">
        <v>68794</v>
      </c>
      <c r="E52" s="11"/>
      <c r="F52" s="11"/>
      <c r="G52" s="11">
        <v>64</v>
      </c>
      <c r="H52" s="11">
        <v>92239</v>
      </c>
      <c r="I52" s="137"/>
      <c r="J52" s="10">
        <v>23964</v>
      </c>
      <c r="K52" s="60"/>
      <c r="L52" s="60"/>
      <c r="M52" s="60"/>
      <c r="N52" s="60"/>
      <c r="O52" s="60"/>
      <c r="P52" s="69"/>
    </row>
    <row r="53" spans="2:16" ht="15" customHeight="1" x14ac:dyDescent="0.25">
      <c r="B53" s="576">
        <v>2016</v>
      </c>
      <c r="C53" s="30"/>
      <c r="D53" s="11">
        <v>75810</v>
      </c>
      <c r="E53" s="11"/>
      <c r="F53" s="11"/>
      <c r="G53" s="11">
        <v>64</v>
      </c>
      <c r="H53" s="11">
        <v>88264</v>
      </c>
      <c r="I53" s="137"/>
      <c r="J53" s="10">
        <v>39737</v>
      </c>
      <c r="K53" s="60"/>
      <c r="L53" s="60"/>
      <c r="M53" s="60"/>
      <c r="N53" s="60"/>
      <c r="O53" s="60"/>
      <c r="P53" s="69"/>
    </row>
    <row r="54" spans="2:16" ht="15" customHeight="1" x14ac:dyDescent="0.25">
      <c r="B54" s="576">
        <v>2017</v>
      </c>
      <c r="C54" s="30"/>
      <c r="D54" s="11">
        <v>79245</v>
      </c>
      <c r="E54" s="11"/>
      <c r="F54" s="11"/>
      <c r="G54" s="11">
        <v>78</v>
      </c>
      <c r="H54" s="11">
        <v>92411</v>
      </c>
      <c r="I54" s="137"/>
      <c r="J54" s="10">
        <v>29952</v>
      </c>
      <c r="K54" s="60"/>
      <c r="L54" s="60"/>
      <c r="M54" s="60"/>
      <c r="N54" s="60"/>
      <c r="O54" s="60"/>
      <c r="P54" s="69"/>
    </row>
    <row r="55" spans="2:16" ht="15" customHeight="1" x14ac:dyDescent="0.25">
      <c r="B55" s="576">
        <v>2018</v>
      </c>
      <c r="C55" s="30"/>
      <c r="D55" s="11">
        <v>80525</v>
      </c>
      <c r="E55" s="11"/>
      <c r="F55" s="11"/>
      <c r="G55" s="11">
        <v>73</v>
      </c>
      <c r="H55" s="11">
        <v>90710</v>
      </c>
      <c r="I55" s="137"/>
      <c r="J55" s="10">
        <v>18944</v>
      </c>
      <c r="K55" s="60"/>
      <c r="L55" s="60"/>
      <c r="M55" s="60"/>
      <c r="N55" s="60"/>
      <c r="O55" s="60"/>
      <c r="P55" s="69"/>
    </row>
    <row r="56" spans="2:16" ht="15" customHeight="1" x14ac:dyDescent="0.25">
      <c r="B56" s="576">
        <v>2019</v>
      </c>
      <c r="C56" s="30"/>
      <c r="D56" s="11">
        <v>82788</v>
      </c>
      <c r="E56" s="11"/>
      <c r="F56" s="11"/>
      <c r="G56" s="11">
        <v>71</v>
      </c>
      <c r="H56" s="11">
        <v>95862</v>
      </c>
      <c r="I56" s="137"/>
      <c r="J56" s="10">
        <v>19387</v>
      </c>
      <c r="K56" s="60"/>
      <c r="L56" s="60"/>
      <c r="M56" s="60"/>
      <c r="N56" s="60"/>
      <c r="O56" s="60"/>
      <c r="P56" s="69"/>
    </row>
    <row r="57" spans="2:16" ht="15" customHeight="1" x14ac:dyDescent="0.25">
      <c r="B57" s="576">
        <v>2020</v>
      </c>
      <c r="C57" s="30"/>
      <c r="D57" s="11">
        <v>75796</v>
      </c>
      <c r="E57" s="11"/>
      <c r="F57" s="11"/>
      <c r="G57" s="11">
        <v>65</v>
      </c>
      <c r="H57" s="11">
        <v>85891</v>
      </c>
      <c r="I57" s="137"/>
      <c r="J57" s="10">
        <v>6866</v>
      </c>
      <c r="K57" s="60"/>
      <c r="L57" s="60"/>
      <c r="M57" s="60"/>
      <c r="N57" s="60"/>
      <c r="O57" s="60"/>
      <c r="P57" s="69"/>
    </row>
    <row r="58" spans="2:16" ht="15" customHeight="1" x14ac:dyDescent="0.25">
      <c r="B58" s="576">
        <v>2021</v>
      </c>
      <c r="C58" s="30"/>
      <c r="D58" s="11">
        <v>66317</v>
      </c>
      <c r="E58" s="11"/>
      <c r="F58" s="11"/>
      <c r="G58" s="11">
        <v>91</v>
      </c>
      <c r="H58" s="11">
        <v>81100</v>
      </c>
      <c r="I58" s="137"/>
      <c r="J58" s="10">
        <v>4788</v>
      </c>
      <c r="K58" s="60"/>
      <c r="L58" s="60"/>
      <c r="M58" s="60"/>
      <c r="N58" s="60"/>
      <c r="O58" s="60"/>
      <c r="P58" s="69"/>
    </row>
    <row r="59" spans="2:16" ht="15" customHeight="1" x14ac:dyDescent="0.25">
      <c r="B59" s="577"/>
      <c r="C59" s="30"/>
      <c r="D59" s="11"/>
      <c r="E59" s="11"/>
      <c r="F59" s="11"/>
      <c r="G59" s="11"/>
      <c r="H59" s="11"/>
      <c r="I59" s="137"/>
      <c r="J59" s="10"/>
      <c r="K59" s="60"/>
      <c r="L59" s="60"/>
      <c r="M59" s="60"/>
      <c r="N59" s="60"/>
      <c r="O59" s="60"/>
      <c r="P59" s="69"/>
    </row>
    <row r="60" spans="2:16" ht="15" customHeight="1" x14ac:dyDescent="0.25">
      <c r="B60" s="570" t="s">
        <v>116</v>
      </c>
      <c r="C60" s="30"/>
      <c r="D60" s="11"/>
      <c r="E60" s="11"/>
      <c r="F60" s="11"/>
      <c r="G60" s="11"/>
      <c r="H60" s="11"/>
      <c r="I60" s="137"/>
      <c r="J60" s="10"/>
      <c r="K60" s="60"/>
      <c r="L60" s="60"/>
      <c r="M60" s="60"/>
      <c r="N60" s="60"/>
      <c r="O60" s="60"/>
      <c r="P60" s="69"/>
    </row>
    <row r="61" spans="2:16" ht="15" customHeight="1" x14ac:dyDescent="0.25">
      <c r="B61" s="575">
        <v>1999</v>
      </c>
      <c r="C61" s="30">
        <v>21436</v>
      </c>
      <c r="D61" s="11">
        <v>11151</v>
      </c>
      <c r="E61" s="11"/>
      <c r="F61" s="11">
        <v>3334</v>
      </c>
      <c r="G61" s="11">
        <v>1442</v>
      </c>
      <c r="H61" s="11">
        <v>47881</v>
      </c>
      <c r="I61" s="137">
        <v>3150</v>
      </c>
      <c r="J61" s="10">
        <v>21680</v>
      </c>
      <c r="K61" s="60"/>
      <c r="L61" s="60"/>
      <c r="M61" s="60"/>
      <c r="N61" s="60"/>
      <c r="O61" s="60"/>
      <c r="P61" s="69"/>
    </row>
    <row r="62" spans="2:16" ht="15" customHeight="1" x14ac:dyDescent="0.25">
      <c r="B62" s="575">
        <v>2000</v>
      </c>
      <c r="C62" s="30">
        <v>16915</v>
      </c>
      <c r="D62" s="11">
        <v>15235</v>
      </c>
      <c r="E62" s="11"/>
      <c r="F62" s="11">
        <v>2974</v>
      </c>
      <c r="G62" s="11">
        <v>986</v>
      </c>
      <c r="H62" s="11">
        <v>45529</v>
      </c>
      <c r="I62" s="137">
        <v>9450</v>
      </c>
      <c r="J62" s="10">
        <v>7973</v>
      </c>
      <c r="K62" s="60"/>
      <c r="L62" s="60"/>
      <c r="M62" s="60"/>
      <c r="N62" s="60"/>
      <c r="O62" s="60"/>
      <c r="P62" s="69"/>
    </row>
    <row r="63" spans="2:16" ht="15" customHeight="1" x14ac:dyDescent="0.25">
      <c r="B63" s="575">
        <v>2001</v>
      </c>
      <c r="C63" s="30">
        <v>10131</v>
      </c>
      <c r="D63" s="11">
        <f>21529+2391</f>
        <v>23920</v>
      </c>
      <c r="E63" s="11"/>
      <c r="F63" s="11"/>
      <c r="G63" s="11">
        <v>831</v>
      </c>
      <c r="H63" s="11">
        <v>46352</v>
      </c>
      <c r="I63" s="137">
        <v>11340</v>
      </c>
      <c r="J63" s="10">
        <v>24062</v>
      </c>
      <c r="K63" s="60"/>
      <c r="L63" s="60"/>
      <c r="M63" s="60"/>
      <c r="N63" s="60"/>
      <c r="O63" s="60"/>
      <c r="P63" s="69"/>
    </row>
    <row r="64" spans="2:16" ht="15" customHeight="1" x14ac:dyDescent="0.25">
      <c r="B64" s="575">
        <v>2002</v>
      </c>
      <c r="C64" s="30"/>
      <c r="D64" s="11">
        <f>10839+20926+2434</f>
        <v>34199</v>
      </c>
      <c r="E64" s="11"/>
      <c r="F64" s="11"/>
      <c r="G64" s="11">
        <v>737</v>
      </c>
      <c r="H64" s="11">
        <v>44746</v>
      </c>
      <c r="I64" s="137">
        <v>15120</v>
      </c>
      <c r="J64" s="10">
        <v>17292</v>
      </c>
      <c r="K64" s="60"/>
      <c r="L64" s="60"/>
      <c r="M64" s="60"/>
      <c r="N64" s="60"/>
      <c r="O64" s="60"/>
      <c r="P64" s="69"/>
    </row>
    <row r="65" spans="2:16" ht="15" customHeight="1" x14ac:dyDescent="0.25">
      <c r="B65" s="575">
        <v>2003</v>
      </c>
      <c r="C65" s="30"/>
      <c r="D65" s="11">
        <f>12602+24031</f>
        <v>36633</v>
      </c>
      <c r="E65" s="11"/>
      <c r="F65" s="11"/>
      <c r="G65" s="11">
        <v>1635</v>
      </c>
      <c r="H65" s="11">
        <v>53444</v>
      </c>
      <c r="I65" s="137">
        <v>10510</v>
      </c>
      <c r="J65" s="10">
        <v>30767</v>
      </c>
      <c r="K65" s="60"/>
      <c r="L65" s="60"/>
      <c r="M65" s="60"/>
      <c r="N65" s="60"/>
      <c r="O65" s="60"/>
      <c r="P65" s="69"/>
    </row>
    <row r="66" spans="2:16" ht="15" customHeight="1" x14ac:dyDescent="0.25">
      <c r="B66" s="575">
        <v>2004</v>
      </c>
      <c r="C66" s="30"/>
      <c r="D66" s="11">
        <v>35499</v>
      </c>
      <c r="E66" s="11"/>
      <c r="F66" s="11"/>
      <c r="G66" s="11">
        <v>596</v>
      </c>
      <c r="H66" s="11">
        <v>53922</v>
      </c>
      <c r="I66" s="137">
        <v>4465</v>
      </c>
      <c r="J66" s="10">
        <v>26244</v>
      </c>
      <c r="K66" s="60"/>
      <c r="L66" s="60"/>
      <c r="M66" s="60"/>
      <c r="N66" s="60"/>
      <c r="O66" s="60"/>
      <c r="P66" s="69"/>
    </row>
    <row r="67" spans="2:16" ht="15" customHeight="1" x14ac:dyDescent="0.25">
      <c r="B67" s="575">
        <v>2005</v>
      </c>
      <c r="C67" s="30"/>
      <c r="D67" s="11">
        <v>37099</v>
      </c>
      <c r="E67" s="11"/>
      <c r="F67" s="11"/>
      <c r="G67" s="11">
        <v>306</v>
      </c>
      <c r="H67" s="11">
        <v>52072</v>
      </c>
      <c r="I67" s="137">
        <v>3150</v>
      </c>
      <c r="J67" s="10">
        <v>31776</v>
      </c>
      <c r="K67" s="60"/>
      <c r="L67" s="60"/>
      <c r="M67" s="60"/>
      <c r="N67" s="60"/>
      <c r="O67" s="60"/>
      <c r="P67" s="69"/>
    </row>
    <row r="68" spans="2:16" ht="15" customHeight="1" x14ac:dyDescent="0.25">
      <c r="B68" s="575">
        <v>2006</v>
      </c>
      <c r="C68" s="30"/>
      <c r="D68" s="11">
        <v>35444</v>
      </c>
      <c r="E68" s="11"/>
      <c r="F68" s="11"/>
      <c r="G68" s="11">
        <v>165</v>
      </c>
      <c r="H68" s="11">
        <v>50726</v>
      </c>
      <c r="I68" s="137">
        <v>4230</v>
      </c>
      <c r="J68" s="10">
        <v>31003</v>
      </c>
      <c r="K68" s="60"/>
      <c r="L68" s="60"/>
      <c r="M68" s="60"/>
      <c r="N68" s="60"/>
      <c r="O68" s="60"/>
      <c r="P68" s="69"/>
    </row>
    <row r="69" spans="2:16" ht="15" customHeight="1" x14ac:dyDescent="0.25">
      <c r="B69" s="575">
        <v>2007</v>
      </c>
      <c r="C69" s="30"/>
      <c r="D69" s="11">
        <v>39531</v>
      </c>
      <c r="E69" s="11"/>
      <c r="F69" s="11"/>
      <c r="G69" s="11">
        <v>145</v>
      </c>
      <c r="H69" s="11">
        <v>71415</v>
      </c>
      <c r="I69" s="137">
        <v>1597</v>
      </c>
      <c r="J69" s="10">
        <v>31543</v>
      </c>
      <c r="K69" s="60"/>
      <c r="L69" s="60"/>
      <c r="M69" s="60"/>
      <c r="N69" s="60"/>
      <c r="O69" s="60"/>
      <c r="P69" s="69"/>
    </row>
    <row r="70" spans="2:16" ht="15" customHeight="1" x14ac:dyDescent="0.25">
      <c r="B70" s="575">
        <v>2008</v>
      </c>
      <c r="C70" s="30"/>
      <c r="D70" s="11">
        <v>41274</v>
      </c>
      <c r="E70" s="11"/>
      <c r="F70" s="11"/>
      <c r="G70" s="11">
        <v>100</v>
      </c>
      <c r="H70" s="11">
        <v>84029</v>
      </c>
      <c r="I70" s="137"/>
      <c r="J70" s="10">
        <v>29659</v>
      </c>
      <c r="K70" s="60"/>
      <c r="L70" s="60"/>
      <c r="M70" s="60"/>
      <c r="N70" s="60"/>
      <c r="O70" s="60"/>
      <c r="P70" s="69"/>
    </row>
    <row r="71" spans="2:16" ht="15" customHeight="1" x14ac:dyDescent="0.25">
      <c r="B71" s="576">
        <v>2009</v>
      </c>
      <c r="C71" s="30"/>
      <c r="D71" s="11">
        <v>48601</v>
      </c>
      <c r="E71" s="11"/>
      <c r="F71" s="11"/>
      <c r="G71" s="11">
        <v>195</v>
      </c>
      <c r="H71" s="11">
        <v>71915</v>
      </c>
      <c r="I71" s="137"/>
      <c r="J71" s="10">
        <v>21440</v>
      </c>
      <c r="K71" s="60"/>
      <c r="L71" s="60"/>
      <c r="M71" s="60"/>
      <c r="N71" s="60"/>
      <c r="O71" s="60"/>
      <c r="P71" s="69"/>
    </row>
    <row r="72" spans="2:16" ht="15" customHeight="1" x14ac:dyDescent="0.25">
      <c r="B72" s="576">
        <v>2010</v>
      </c>
      <c r="C72" s="30"/>
      <c r="D72" s="11">
        <v>52030</v>
      </c>
      <c r="E72" s="11"/>
      <c r="F72" s="11"/>
      <c r="G72" s="11">
        <v>640</v>
      </c>
      <c r="H72" s="11">
        <v>85671</v>
      </c>
      <c r="I72" s="137"/>
      <c r="J72" s="10">
        <v>27688</v>
      </c>
      <c r="K72" s="60"/>
      <c r="L72" s="60"/>
      <c r="M72" s="60"/>
      <c r="N72" s="60"/>
      <c r="O72" s="60"/>
      <c r="P72" s="69"/>
    </row>
    <row r="73" spans="2:16" ht="15" customHeight="1" x14ac:dyDescent="0.25">
      <c r="B73" s="576">
        <v>2011</v>
      </c>
      <c r="C73" s="30"/>
      <c r="D73" s="11">
        <v>54084</v>
      </c>
      <c r="E73" s="11"/>
      <c r="F73" s="11"/>
      <c r="G73" s="11">
        <v>158</v>
      </c>
      <c r="H73" s="11">
        <v>106478</v>
      </c>
      <c r="I73" s="137"/>
      <c r="J73" s="10">
        <v>33777</v>
      </c>
      <c r="K73" s="60"/>
      <c r="L73" s="60"/>
      <c r="M73" s="60"/>
      <c r="N73" s="60"/>
      <c r="O73" s="60"/>
      <c r="P73" s="69"/>
    </row>
    <row r="74" spans="2:16" ht="15" customHeight="1" x14ac:dyDescent="0.25">
      <c r="B74" s="576">
        <v>2012</v>
      </c>
      <c r="C74" s="30"/>
      <c r="D74" s="11">
        <v>57861</v>
      </c>
      <c r="E74" s="11"/>
      <c r="F74" s="11"/>
      <c r="G74" s="11">
        <v>109</v>
      </c>
      <c r="H74" s="11">
        <v>90747</v>
      </c>
      <c r="I74" s="137"/>
      <c r="J74" s="10">
        <v>33666</v>
      </c>
      <c r="K74" s="60"/>
      <c r="L74" s="60"/>
      <c r="M74" s="60"/>
      <c r="N74" s="60"/>
      <c r="O74" s="60"/>
      <c r="P74" s="69"/>
    </row>
    <row r="75" spans="2:16" ht="15" customHeight="1" x14ac:dyDescent="0.25">
      <c r="B75" s="576">
        <v>2013</v>
      </c>
      <c r="C75" s="30"/>
      <c r="D75" s="11">
        <v>60000</v>
      </c>
      <c r="E75" s="11"/>
      <c r="F75" s="11"/>
      <c r="G75" s="11">
        <v>81</v>
      </c>
      <c r="H75" s="11">
        <v>103608</v>
      </c>
      <c r="I75" s="137"/>
      <c r="J75" s="10">
        <v>29598</v>
      </c>
      <c r="K75" s="60"/>
      <c r="L75" s="60"/>
      <c r="M75" s="60"/>
      <c r="N75" s="60"/>
      <c r="O75" s="60"/>
      <c r="P75" s="69"/>
    </row>
    <row r="76" spans="2:16" ht="15" customHeight="1" x14ac:dyDescent="0.25">
      <c r="B76" s="576">
        <v>2014</v>
      </c>
      <c r="C76" s="30"/>
      <c r="D76" s="11">
        <v>4557</v>
      </c>
      <c r="E76" s="11">
        <v>60405</v>
      </c>
      <c r="F76" s="11"/>
      <c r="G76" s="11">
        <v>72</v>
      </c>
      <c r="H76" s="11">
        <v>130779</v>
      </c>
      <c r="I76" s="137"/>
      <c r="J76" s="10">
        <v>10716</v>
      </c>
      <c r="K76" s="60"/>
      <c r="L76" s="60"/>
      <c r="M76" s="60"/>
      <c r="N76" s="60"/>
      <c r="O76" s="60"/>
      <c r="P76" s="69"/>
    </row>
    <row r="77" spans="2:16" ht="15" customHeight="1" x14ac:dyDescent="0.25">
      <c r="B77" s="576">
        <v>2015</v>
      </c>
      <c r="C77" s="30"/>
      <c r="D77" s="11">
        <v>70699</v>
      </c>
      <c r="E77" s="11"/>
      <c r="F77" s="11"/>
      <c r="G77" s="11">
        <v>68</v>
      </c>
      <c r="H77" s="11">
        <v>89361</v>
      </c>
      <c r="I77" s="137"/>
      <c r="J77" s="10">
        <v>32795</v>
      </c>
      <c r="K77" s="60"/>
      <c r="L77" s="60"/>
      <c r="M77" s="60"/>
      <c r="N77" s="60"/>
      <c r="O77" s="60"/>
      <c r="P77" s="69"/>
    </row>
    <row r="78" spans="2:16" ht="15" customHeight="1" x14ac:dyDescent="0.25">
      <c r="B78" s="576">
        <v>2016</v>
      </c>
      <c r="C78" s="30"/>
      <c r="D78" s="11">
        <v>76265</v>
      </c>
      <c r="E78" s="11"/>
      <c r="F78" s="11"/>
      <c r="G78" s="11">
        <v>70</v>
      </c>
      <c r="H78" s="11">
        <v>91881</v>
      </c>
      <c r="I78" s="137"/>
      <c r="J78" s="10">
        <v>45022</v>
      </c>
      <c r="K78" s="60"/>
      <c r="L78" s="60"/>
      <c r="M78" s="60"/>
      <c r="N78" s="60"/>
      <c r="O78" s="60"/>
      <c r="P78" s="69"/>
    </row>
    <row r="79" spans="2:16" ht="15" customHeight="1" x14ac:dyDescent="0.25">
      <c r="B79" s="576">
        <v>2017</v>
      </c>
      <c r="C79" s="30"/>
      <c r="D79" s="11">
        <v>82871</v>
      </c>
      <c r="E79" s="11"/>
      <c r="F79" s="11"/>
      <c r="G79" s="11">
        <v>78</v>
      </c>
      <c r="H79" s="11">
        <v>95952</v>
      </c>
      <c r="I79" s="137"/>
      <c r="J79" s="10">
        <v>33887</v>
      </c>
      <c r="K79" s="60"/>
      <c r="L79" s="60"/>
      <c r="M79" s="60"/>
      <c r="N79" s="60"/>
      <c r="O79" s="60"/>
      <c r="P79" s="69"/>
    </row>
    <row r="80" spans="2:16" ht="15" customHeight="1" x14ac:dyDescent="0.25">
      <c r="B80" s="576">
        <v>2018</v>
      </c>
      <c r="C80" s="30"/>
      <c r="D80" s="11">
        <v>83381</v>
      </c>
      <c r="E80" s="11"/>
      <c r="F80" s="11"/>
      <c r="G80" s="11">
        <v>70</v>
      </c>
      <c r="H80" s="11">
        <v>91805</v>
      </c>
      <c r="I80" s="137"/>
      <c r="J80" s="10">
        <v>24142</v>
      </c>
      <c r="K80" s="60"/>
      <c r="L80" s="60"/>
      <c r="M80" s="60"/>
      <c r="N80" s="60"/>
      <c r="O80" s="60"/>
      <c r="P80" s="69"/>
    </row>
    <row r="81" spans="2:16" ht="15" customHeight="1" x14ac:dyDescent="0.25">
      <c r="B81" s="576">
        <v>2019</v>
      </c>
      <c r="C81" s="30"/>
      <c r="D81" s="11">
        <v>84334</v>
      </c>
      <c r="E81" s="11"/>
      <c r="F81" s="11"/>
      <c r="G81" s="11">
        <v>64</v>
      </c>
      <c r="H81" s="11">
        <v>92885</v>
      </c>
      <c r="I81" s="137"/>
      <c r="J81" s="10">
        <v>23104</v>
      </c>
      <c r="K81" s="60"/>
      <c r="L81" s="60"/>
      <c r="M81" s="60"/>
      <c r="N81" s="60"/>
      <c r="O81" s="60"/>
      <c r="P81" s="69"/>
    </row>
    <row r="82" spans="2:16" ht="15" customHeight="1" x14ac:dyDescent="0.25">
      <c r="B82" s="576">
        <v>2020</v>
      </c>
      <c r="C82" s="30"/>
      <c r="D82" s="11">
        <v>38890</v>
      </c>
      <c r="E82" s="11"/>
      <c r="F82" s="11"/>
      <c r="G82" s="11">
        <v>58</v>
      </c>
      <c r="H82" s="11">
        <v>48271</v>
      </c>
      <c r="I82" s="137"/>
      <c r="J82" s="10">
        <v>8692</v>
      </c>
      <c r="K82" s="60"/>
      <c r="L82" s="60"/>
      <c r="M82" s="60"/>
      <c r="N82" s="60"/>
      <c r="O82" s="60"/>
      <c r="P82" s="69"/>
    </row>
    <row r="83" spans="2:16" ht="15" customHeight="1" x14ac:dyDescent="0.25">
      <c r="B83" s="576">
        <v>2021</v>
      </c>
      <c r="C83" s="30"/>
      <c r="D83" s="11">
        <v>78853</v>
      </c>
      <c r="E83" s="11"/>
      <c r="F83" s="11"/>
      <c r="G83" s="11">
        <v>85</v>
      </c>
      <c r="H83" s="11">
        <v>86716</v>
      </c>
      <c r="I83" s="137"/>
      <c r="J83" s="10">
        <v>4721</v>
      </c>
      <c r="K83" s="60"/>
      <c r="L83" s="60"/>
      <c r="M83" s="60"/>
      <c r="N83" s="60"/>
      <c r="O83" s="60"/>
      <c r="P83" s="69"/>
    </row>
    <row r="84" spans="2:16" ht="15" customHeight="1" x14ac:dyDescent="0.25">
      <c r="B84" s="577"/>
      <c r="C84" s="30"/>
      <c r="D84" s="11"/>
      <c r="E84" s="11"/>
      <c r="F84" s="11"/>
      <c r="G84" s="11"/>
      <c r="H84" s="11"/>
      <c r="I84" s="137"/>
      <c r="J84" s="10"/>
      <c r="K84" s="60"/>
      <c r="L84" s="60"/>
      <c r="M84" s="60"/>
      <c r="N84" s="60"/>
      <c r="O84" s="60"/>
      <c r="P84" s="69"/>
    </row>
    <row r="85" spans="2:16" ht="15" customHeight="1" x14ac:dyDescent="0.25">
      <c r="B85" s="570" t="s">
        <v>117</v>
      </c>
      <c r="C85" s="30"/>
      <c r="D85" s="11"/>
      <c r="E85" s="11"/>
      <c r="F85" s="11"/>
      <c r="G85" s="11"/>
      <c r="H85" s="11"/>
      <c r="I85" s="137"/>
      <c r="J85" s="10"/>
      <c r="K85" s="60"/>
      <c r="L85" s="60"/>
      <c r="M85" s="60"/>
      <c r="N85" s="60"/>
      <c r="O85" s="60"/>
      <c r="P85" s="69"/>
    </row>
    <row r="86" spans="2:16" ht="15" customHeight="1" x14ac:dyDescent="0.25">
      <c r="B86" s="575">
        <v>1999</v>
      </c>
      <c r="C86" s="30">
        <v>20633</v>
      </c>
      <c r="D86" s="11">
        <v>12032</v>
      </c>
      <c r="E86" s="11"/>
      <c r="F86" s="11">
        <v>3137</v>
      </c>
      <c r="G86" s="11">
        <v>1307</v>
      </c>
      <c r="H86" s="11">
        <v>44730</v>
      </c>
      <c r="I86" s="137">
        <v>3150</v>
      </c>
      <c r="J86" s="10">
        <v>27756</v>
      </c>
      <c r="K86" s="60"/>
      <c r="L86" s="60"/>
      <c r="M86" s="60"/>
      <c r="N86" s="60"/>
      <c r="O86" s="60"/>
      <c r="P86" s="69"/>
    </row>
    <row r="87" spans="2:16" ht="15" customHeight="1" x14ac:dyDescent="0.25">
      <c r="B87" s="575">
        <v>2000</v>
      </c>
      <c r="C87" s="30">
        <v>14851</v>
      </c>
      <c r="D87" s="11">
        <v>16985</v>
      </c>
      <c r="E87" s="11"/>
      <c r="F87" s="11">
        <v>2536</v>
      </c>
      <c r="G87" s="11">
        <v>818</v>
      </c>
      <c r="H87" s="11">
        <v>43558</v>
      </c>
      <c r="I87" s="137">
        <v>4410</v>
      </c>
      <c r="J87" s="10">
        <v>6129</v>
      </c>
      <c r="K87" s="60"/>
      <c r="L87" s="60"/>
      <c r="M87" s="60"/>
      <c r="N87" s="60"/>
      <c r="O87" s="60"/>
      <c r="P87" s="69"/>
    </row>
    <row r="88" spans="2:16" ht="15" customHeight="1" x14ac:dyDescent="0.25">
      <c r="B88" s="575">
        <v>2001</v>
      </c>
      <c r="C88" s="30">
        <v>6071</v>
      </c>
      <c r="D88" s="11">
        <f>25951+2155</f>
        <v>28106</v>
      </c>
      <c r="E88" s="11"/>
      <c r="F88" s="11"/>
      <c r="G88" s="11">
        <v>753</v>
      </c>
      <c r="H88" s="11">
        <v>44209</v>
      </c>
      <c r="I88" s="137">
        <v>14700</v>
      </c>
      <c r="J88" s="10">
        <v>18807</v>
      </c>
      <c r="K88" s="60"/>
      <c r="L88" s="60"/>
      <c r="M88" s="60"/>
      <c r="N88" s="60"/>
      <c r="O88" s="60"/>
      <c r="P88" s="69"/>
    </row>
    <row r="89" spans="2:16" ht="15" customHeight="1" x14ac:dyDescent="0.25">
      <c r="B89" s="575">
        <v>2002</v>
      </c>
      <c r="C89" s="30"/>
      <c r="D89" s="11">
        <f>11513+21314+2493</f>
        <v>35320</v>
      </c>
      <c r="E89" s="11"/>
      <c r="F89" s="11"/>
      <c r="G89" s="11">
        <v>913</v>
      </c>
      <c r="H89" s="11">
        <v>45115</v>
      </c>
      <c r="I89" s="137">
        <v>13020</v>
      </c>
      <c r="J89" s="10">
        <v>15287</v>
      </c>
      <c r="K89" s="60"/>
      <c r="L89" s="60"/>
      <c r="M89" s="60"/>
      <c r="N89" s="60"/>
      <c r="O89" s="60"/>
      <c r="P89" s="69"/>
    </row>
    <row r="90" spans="2:16" ht="15" customHeight="1" x14ac:dyDescent="0.25">
      <c r="B90" s="575">
        <v>2003</v>
      </c>
      <c r="C90" s="30"/>
      <c r="D90" s="11">
        <f>12197+22924</f>
        <v>35121</v>
      </c>
      <c r="E90" s="11"/>
      <c r="F90" s="11"/>
      <c r="G90" s="11">
        <v>535</v>
      </c>
      <c r="H90" s="11">
        <v>49757</v>
      </c>
      <c r="I90" s="137">
        <v>12642</v>
      </c>
      <c r="J90" s="10">
        <v>27823</v>
      </c>
      <c r="K90" s="60"/>
      <c r="L90" s="60"/>
      <c r="M90" s="60"/>
      <c r="N90" s="60"/>
      <c r="O90" s="60"/>
      <c r="P90" s="69"/>
    </row>
    <row r="91" spans="2:16" ht="15" customHeight="1" x14ac:dyDescent="0.25">
      <c r="B91" s="575">
        <v>2004</v>
      </c>
      <c r="C91" s="30"/>
      <c r="D91" s="11">
        <v>37841</v>
      </c>
      <c r="E91" s="11"/>
      <c r="F91" s="11"/>
      <c r="G91" s="11">
        <v>418</v>
      </c>
      <c r="H91" s="11">
        <v>51086</v>
      </c>
      <c r="I91" s="137">
        <v>2672</v>
      </c>
      <c r="J91" s="10">
        <v>25669</v>
      </c>
      <c r="K91" s="60"/>
      <c r="L91" s="60"/>
      <c r="M91" s="60"/>
      <c r="N91" s="60"/>
      <c r="O91" s="60"/>
      <c r="P91" s="69"/>
    </row>
    <row r="92" spans="2:16" ht="15" customHeight="1" x14ac:dyDescent="0.25">
      <c r="B92" s="575">
        <v>2005</v>
      </c>
      <c r="C92" s="30"/>
      <c r="D92" s="11">
        <v>35921</v>
      </c>
      <c r="E92" s="11"/>
      <c r="F92" s="11"/>
      <c r="G92" s="11">
        <v>231</v>
      </c>
      <c r="H92" s="11">
        <v>48282</v>
      </c>
      <c r="I92" s="137">
        <v>2736</v>
      </c>
      <c r="J92" s="10">
        <v>30244</v>
      </c>
      <c r="K92" s="60"/>
      <c r="L92" s="60"/>
      <c r="M92" s="60"/>
      <c r="N92" s="60"/>
      <c r="O92" s="60"/>
      <c r="P92" s="69"/>
    </row>
    <row r="93" spans="2:16" ht="15" customHeight="1" x14ac:dyDescent="0.25">
      <c r="B93" s="575">
        <v>2006</v>
      </c>
      <c r="C93" s="30"/>
      <c r="D93" s="11">
        <v>36508</v>
      </c>
      <c r="E93" s="11"/>
      <c r="F93" s="11"/>
      <c r="G93" s="11">
        <v>188</v>
      </c>
      <c r="H93" s="11">
        <v>49603</v>
      </c>
      <c r="I93" s="137">
        <v>1890</v>
      </c>
      <c r="J93" s="10">
        <v>30159</v>
      </c>
      <c r="K93" s="60"/>
      <c r="L93" s="60"/>
      <c r="M93" s="60"/>
      <c r="N93" s="60"/>
      <c r="O93" s="60"/>
      <c r="P93" s="69"/>
    </row>
    <row r="94" spans="2:16" ht="15" customHeight="1" x14ac:dyDescent="0.25">
      <c r="B94" s="575">
        <v>2007</v>
      </c>
      <c r="C94" s="30"/>
      <c r="D94" s="11">
        <v>40598</v>
      </c>
      <c r="E94" s="11"/>
      <c r="F94" s="11"/>
      <c r="G94" s="11">
        <v>136</v>
      </c>
      <c r="H94" s="11">
        <v>66175</v>
      </c>
      <c r="I94" s="137">
        <v>0</v>
      </c>
      <c r="J94" s="10">
        <v>32183</v>
      </c>
      <c r="K94" s="60"/>
      <c r="L94" s="60"/>
      <c r="M94" s="60"/>
      <c r="N94" s="60"/>
      <c r="O94" s="60"/>
      <c r="P94" s="69"/>
    </row>
    <row r="95" spans="2:16" ht="15" customHeight="1" x14ac:dyDescent="0.25">
      <c r="B95" s="575">
        <v>2008</v>
      </c>
      <c r="C95" s="30"/>
      <c r="D95" s="11">
        <v>41636</v>
      </c>
      <c r="E95" s="11"/>
      <c r="F95" s="11"/>
      <c r="G95" s="11">
        <v>121</v>
      </c>
      <c r="H95" s="11">
        <v>65015</v>
      </c>
      <c r="I95" s="137"/>
      <c r="J95" s="10">
        <v>29080</v>
      </c>
      <c r="K95" s="60"/>
      <c r="L95" s="60"/>
      <c r="M95" s="60"/>
      <c r="N95" s="60"/>
      <c r="O95" s="60"/>
      <c r="P95" s="69"/>
    </row>
    <row r="96" spans="2:16" ht="15" customHeight="1" x14ac:dyDescent="0.25">
      <c r="B96" s="576">
        <v>2009</v>
      </c>
      <c r="C96" s="30"/>
      <c r="D96" s="11">
        <v>49364</v>
      </c>
      <c r="E96" s="11"/>
      <c r="F96" s="11"/>
      <c r="G96" s="11">
        <v>123</v>
      </c>
      <c r="H96" s="11">
        <v>71249</v>
      </c>
      <c r="I96" s="137"/>
      <c r="J96" s="10">
        <v>19104</v>
      </c>
      <c r="K96" s="60"/>
      <c r="L96" s="60"/>
      <c r="M96" s="60"/>
      <c r="N96" s="60"/>
      <c r="O96" s="60"/>
      <c r="P96" s="69"/>
    </row>
    <row r="97" spans="2:16" ht="15" customHeight="1" x14ac:dyDescent="0.25">
      <c r="B97" s="576">
        <v>2010</v>
      </c>
      <c r="C97" s="30"/>
      <c r="D97" s="11">
        <v>53503</v>
      </c>
      <c r="E97" s="11"/>
      <c r="F97" s="11"/>
      <c r="G97" s="11">
        <v>731</v>
      </c>
      <c r="H97" s="11">
        <v>77940</v>
      </c>
      <c r="I97" s="137"/>
      <c r="J97" s="10">
        <v>25535</v>
      </c>
      <c r="K97" s="60"/>
      <c r="L97" s="60"/>
      <c r="M97" s="60"/>
      <c r="N97" s="60"/>
      <c r="O97" s="60"/>
      <c r="P97" s="69"/>
    </row>
    <row r="98" spans="2:16" ht="15" customHeight="1" x14ac:dyDescent="0.25">
      <c r="B98" s="576">
        <v>2011</v>
      </c>
      <c r="C98" s="30"/>
      <c r="D98" s="11">
        <v>55739</v>
      </c>
      <c r="E98" s="11"/>
      <c r="F98" s="11"/>
      <c r="G98" s="11">
        <v>131</v>
      </c>
      <c r="H98" s="11">
        <v>97522</v>
      </c>
      <c r="I98" s="137"/>
      <c r="J98" s="10">
        <v>32007</v>
      </c>
      <c r="K98" s="60"/>
      <c r="L98" s="60"/>
      <c r="M98" s="60"/>
      <c r="N98" s="60"/>
      <c r="O98" s="60"/>
      <c r="P98" s="69"/>
    </row>
    <row r="99" spans="2:16" ht="15" customHeight="1" x14ac:dyDescent="0.25">
      <c r="B99" s="576">
        <v>2012</v>
      </c>
      <c r="C99" s="30"/>
      <c r="D99" s="11">
        <v>58808</v>
      </c>
      <c r="E99" s="11"/>
      <c r="F99" s="11"/>
      <c r="G99" s="11">
        <v>104</v>
      </c>
      <c r="H99" s="11">
        <v>84636</v>
      </c>
      <c r="I99" s="137"/>
      <c r="J99" s="10">
        <v>33261</v>
      </c>
      <c r="K99" s="60"/>
      <c r="L99" s="60"/>
      <c r="M99" s="60"/>
      <c r="N99" s="60"/>
      <c r="O99" s="60"/>
      <c r="P99" s="69"/>
    </row>
    <row r="100" spans="2:16" ht="15" customHeight="1" x14ac:dyDescent="0.25">
      <c r="B100" s="576">
        <v>2013</v>
      </c>
      <c r="C100" s="30"/>
      <c r="D100" s="11">
        <v>48867</v>
      </c>
      <c r="E100" s="11">
        <v>12733</v>
      </c>
      <c r="F100" s="11"/>
      <c r="G100" s="11">
        <v>75</v>
      </c>
      <c r="H100" s="11">
        <v>88341</v>
      </c>
      <c r="I100" s="137"/>
      <c r="J100" s="10">
        <v>24388</v>
      </c>
      <c r="K100" s="60"/>
      <c r="L100" s="60"/>
      <c r="M100" s="60"/>
      <c r="N100" s="60"/>
      <c r="O100" s="60"/>
      <c r="P100" s="69"/>
    </row>
    <row r="101" spans="2:16" ht="15" customHeight="1" x14ac:dyDescent="0.25">
      <c r="B101" s="576">
        <v>2014</v>
      </c>
      <c r="C101" s="30"/>
      <c r="D101" s="11">
        <v>28935</v>
      </c>
      <c r="E101" s="11">
        <v>36697</v>
      </c>
      <c r="F101" s="11"/>
      <c r="G101" s="11">
        <v>79</v>
      </c>
      <c r="H101" s="11">
        <v>99241</v>
      </c>
      <c r="I101" s="137"/>
      <c r="J101" s="10">
        <v>11768</v>
      </c>
      <c r="K101" s="60"/>
      <c r="L101" s="60"/>
      <c r="M101" s="60"/>
      <c r="N101" s="60"/>
      <c r="O101" s="60"/>
      <c r="P101" s="69"/>
    </row>
    <row r="102" spans="2:16" ht="15" customHeight="1" x14ac:dyDescent="0.25">
      <c r="B102" s="576">
        <v>2015</v>
      </c>
      <c r="C102" s="30"/>
      <c r="D102" s="11">
        <v>72872</v>
      </c>
      <c r="E102" s="11"/>
      <c r="F102" s="11"/>
      <c r="G102" s="11">
        <v>53</v>
      </c>
      <c r="H102" s="11">
        <v>87381</v>
      </c>
      <c r="I102" s="137"/>
      <c r="J102" s="10">
        <v>25406</v>
      </c>
      <c r="K102" s="60"/>
      <c r="L102" s="60"/>
      <c r="M102" s="60"/>
      <c r="N102" s="60"/>
      <c r="O102" s="60"/>
      <c r="P102" s="69"/>
    </row>
    <row r="103" spans="2:16" ht="15" customHeight="1" x14ac:dyDescent="0.25">
      <c r="B103" s="576">
        <v>2016</v>
      </c>
      <c r="C103" s="30"/>
      <c r="D103" s="11">
        <v>79252</v>
      </c>
      <c r="E103" s="11"/>
      <c r="F103" s="11"/>
      <c r="G103" s="11">
        <v>87</v>
      </c>
      <c r="H103" s="11">
        <v>87257</v>
      </c>
      <c r="I103" s="137"/>
      <c r="J103" s="10">
        <v>32291</v>
      </c>
      <c r="K103" s="60"/>
      <c r="L103" s="60"/>
      <c r="M103" s="60"/>
      <c r="N103" s="60"/>
      <c r="O103" s="60"/>
      <c r="P103" s="69"/>
    </row>
    <row r="104" spans="2:16" ht="15" customHeight="1" x14ac:dyDescent="0.25">
      <c r="B104" s="576">
        <v>2017</v>
      </c>
      <c r="C104" s="30"/>
      <c r="D104" s="11">
        <v>82681</v>
      </c>
      <c r="E104" s="11"/>
      <c r="F104" s="11"/>
      <c r="G104" s="11">
        <v>74</v>
      </c>
      <c r="H104" s="11">
        <v>94779</v>
      </c>
      <c r="I104" s="137"/>
      <c r="J104" s="10">
        <v>35236</v>
      </c>
      <c r="K104" s="60"/>
      <c r="L104" s="60"/>
      <c r="M104" s="60"/>
      <c r="N104" s="60"/>
      <c r="O104" s="60"/>
      <c r="P104" s="69"/>
    </row>
    <row r="105" spans="2:16" ht="15" customHeight="1" x14ac:dyDescent="0.25">
      <c r="B105" s="576">
        <v>2018</v>
      </c>
      <c r="C105" s="30"/>
      <c r="D105" s="11">
        <v>82284</v>
      </c>
      <c r="E105" s="11"/>
      <c r="F105" s="11"/>
      <c r="G105" s="11">
        <v>77</v>
      </c>
      <c r="H105" s="11">
        <v>92190</v>
      </c>
      <c r="I105" s="137"/>
      <c r="J105" s="10">
        <v>8577</v>
      </c>
      <c r="K105" s="60"/>
      <c r="L105" s="60"/>
      <c r="M105" s="60"/>
      <c r="N105" s="60"/>
      <c r="O105" s="60"/>
      <c r="P105" s="69"/>
    </row>
    <row r="106" spans="2:16" ht="15" customHeight="1" x14ac:dyDescent="0.25">
      <c r="B106" s="576">
        <v>2019</v>
      </c>
      <c r="C106" s="30"/>
      <c r="D106" s="11">
        <v>85339</v>
      </c>
      <c r="E106" s="11"/>
      <c r="F106" s="11"/>
      <c r="G106" s="11">
        <v>69</v>
      </c>
      <c r="H106" s="11">
        <v>90857</v>
      </c>
      <c r="I106" s="137"/>
      <c r="J106" s="10">
        <v>17076</v>
      </c>
      <c r="K106" s="60"/>
      <c r="L106" s="60"/>
      <c r="M106" s="60"/>
      <c r="N106" s="60"/>
      <c r="O106" s="60"/>
      <c r="P106" s="69"/>
    </row>
    <row r="107" spans="2:16" ht="15" customHeight="1" x14ac:dyDescent="0.25">
      <c r="B107" s="576">
        <v>2020</v>
      </c>
      <c r="C107" s="30"/>
      <c r="D107" s="11">
        <v>55204</v>
      </c>
      <c r="E107" s="11"/>
      <c r="F107" s="11"/>
      <c r="G107" s="11">
        <v>93</v>
      </c>
      <c r="H107" s="11">
        <v>63399</v>
      </c>
      <c r="I107" s="137"/>
      <c r="J107" s="10">
        <v>2659</v>
      </c>
      <c r="K107" s="60"/>
      <c r="L107" s="60"/>
      <c r="M107" s="60"/>
      <c r="N107" s="60"/>
      <c r="O107" s="60"/>
      <c r="P107" s="69"/>
    </row>
    <row r="108" spans="2:16" ht="15" customHeight="1" x14ac:dyDescent="0.25">
      <c r="B108" s="576">
        <v>2021</v>
      </c>
      <c r="C108" s="30"/>
      <c r="D108" s="11">
        <v>80182</v>
      </c>
      <c r="E108" s="11"/>
      <c r="F108" s="11"/>
      <c r="G108" s="11">
        <v>76</v>
      </c>
      <c r="H108" s="11">
        <v>85916</v>
      </c>
      <c r="I108" s="137"/>
      <c r="J108" s="10">
        <v>5659</v>
      </c>
      <c r="K108" s="60"/>
      <c r="L108" s="60"/>
      <c r="M108" s="60"/>
      <c r="N108" s="60"/>
      <c r="O108" s="60"/>
      <c r="P108" s="69"/>
    </row>
    <row r="109" spans="2:16" ht="15" customHeight="1" x14ac:dyDescent="0.25">
      <c r="B109" s="577"/>
      <c r="C109" s="30"/>
      <c r="D109" s="11"/>
      <c r="E109" s="11"/>
      <c r="F109" s="11"/>
      <c r="G109" s="11"/>
      <c r="H109" s="11"/>
      <c r="I109" s="137"/>
      <c r="J109" s="10"/>
      <c r="K109" s="60"/>
      <c r="L109" s="60"/>
      <c r="M109" s="60"/>
      <c r="N109" s="60"/>
      <c r="O109" s="60"/>
      <c r="P109" s="69"/>
    </row>
    <row r="110" spans="2:16" ht="15" customHeight="1" x14ac:dyDescent="0.25">
      <c r="B110" s="570" t="s">
        <v>118</v>
      </c>
      <c r="C110" s="30"/>
      <c r="D110" s="11"/>
      <c r="E110" s="11"/>
      <c r="F110" s="11"/>
      <c r="G110" s="11"/>
      <c r="H110" s="11"/>
      <c r="I110" s="137"/>
      <c r="J110" s="10"/>
      <c r="K110" s="60"/>
      <c r="L110" s="60"/>
      <c r="M110" s="60"/>
      <c r="N110" s="60"/>
      <c r="O110" s="60"/>
      <c r="P110" s="69"/>
    </row>
    <row r="111" spans="2:16" ht="15" customHeight="1" x14ac:dyDescent="0.25">
      <c r="B111" s="575">
        <v>1999</v>
      </c>
      <c r="C111" s="30">
        <v>19976</v>
      </c>
      <c r="D111" s="11">
        <v>12794</v>
      </c>
      <c r="E111" s="11"/>
      <c r="F111" s="11">
        <v>2932</v>
      </c>
      <c r="G111" s="11">
        <v>1310</v>
      </c>
      <c r="H111" s="11">
        <v>41901</v>
      </c>
      <c r="I111" s="137">
        <v>1322</v>
      </c>
      <c r="J111" s="10">
        <v>6857</v>
      </c>
      <c r="K111" s="60"/>
      <c r="L111" s="60"/>
      <c r="M111" s="60"/>
      <c r="N111" s="60"/>
      <c r="O111" s="60"/>
      <c r="P111" s="69"/>
    </row>
    <row r="112" spans="2:16" ht="15" customHeight="1" x14ac:dyDescent="0.25">
      <c r="B112" s="576">
        <v>2000</v>
      </c>
      <c r="C112" s="83">
        <v>13549</v>
      </c>
      <c r="D112" s="75">
        <v>18969</v>
      </c>
      <c r="E112" s="75"/>
      <c r="F112" s="75">
        <v>2401</v>
      </c>
      <c r="G112" s="75">
        <v>761</v>
      </c>
      <c r="H112" s="75">
        <v>40531</v>
      </c>
      <c r="I112" s="143">
        <v>1890</v>
      </c>
      <c r="J112" s="92">
        <v>11238</v>
      </c>
      <c r="K112" s="60"/>
      <c r="L112" s="60"/>
      <c r="M112" s="60"/>
      <c r="N112" s="60"/>
      <c r="O112" s="60"/>
      <c r="P112" s="69"/>
    </row>
    <row r="113" spans="2:16" ht="15" customHeight="1" x14ac:dyDescent="0.25">
      <c r="B113" s="576">
        <v>2001</v>
      </c>
      <c r="C113" s="83">
        <v>3245</v>
      </c>
      <c r="D113" s="75">
        <f>26858+3635+2090</f>
        <v>32583</v>
      </c>
      <c r="E113" s="75"/>
      <c r="F113" s="75"/>
      <c r="G113" s="75">
        <v>721</v>
      </c>
      <c r="H113" s="75">
        <v>41776</v>
      </c>
      <c r="I113" s="143">
        <v>12180</v>
      </c>
      <c r="J113" s="92">
        <v>16111</v>
      </c>
      <c r="K113" s="60"/>
      <c r="L113" s="60"/>
      <c r="M113" s="60"/>
      <c r="N113" s="60"/>
      <c r="O113" s="60"/>
      <c r="P113" s="69"/>
    </row>
    <row r="114" spans="2:16" ht="15" customHeight="1" x14ac:dyDescent="0.25">
      <c r="B114" s="575">
        <v>2002</v>
      </c>
      <c r="C114" s="30"/>
      <c r="D114" s="11">
        <f>12528+21232+2340</f>
        <v>36100</v>
      </c>
      <c r="E114" s="11"/>
      <c r="F114" s="11"/>
      <c r="G114" s="11">
        <v>844</v>
      </c>
      <c r="H114" s="11">
        <v>46283</v>
      </c>
      <c r="I114" s="137">
        <v>6097</v>
      </c>
      <c r="J114" s="10">
        <v>16832</v>
      </c>
      <c r="K114" s="60"/>
      <c r="L114" s="60"/>
      <c r="M114" s="60"/>
      <c r="N114" s="60"/>
      <c r="O114" s="60"/>
      <c r="P114" s="69"/>
    </row>
    <row r="115" spans="2:16" ht="15" customHeight="1" x14ac:dyDescent="0.25">
      <c r="B115" s="578">
        <v>2003</v>
      </c>
      <c r="C115" s="318"/>
      <c r="D115" s="300">
        <f>14878+23145</f>
        <v>38023</v>
      </c>
      <c r="E115" s="300"/>
      <c r="F115" s="300"/>
      <c r="G115" s="300">
        <v>634</v>
      </c>
      <c r="H115" s="300">
        <v>50142</v>
      </c>
      <c r="I115" s="304">
        <v>10922</v>
      </c>
      <c r="J115" s="301">
        <v>25186</v>
      </c>
      <c r="K115" s="60"/>
      <c r="L115" s="60"/>
      <c r="M115" s="60"/>
      <c r="N115" s="60"/>
      <c r="O115" s="60"/>
      <c r="P115" s="69"/>
    </row>
    <row r="116" spans="2:16" ht="15" customHeight="1" x14ac:dyDescent="0.25">
      <c r="B116" s="576">
        <v>2004</v>
      </c>
      <c r="C116" s="83"/>
      <c r="D116" s="75">
        <v>37319</v>
      </c>
      <c r="E116" s="75"/>
      <c r="F116" s="75"/>
      <c r="G116" s="75">
        <v>456</v>
      </c>
      <c r="H116" s="75">
        <v>49503</v>
      </c>
      <c r="I116" s="143">
        <v>1050</v>
      </c>
      <c r="J116" s="92">
        <v>20384</v>
      </c>
      <c r="K116" s="60"/>
      <c r="L116" s="60"/>
      <c r="M116" s="60"/>
      <c r="N116" s="60"/>
      <c r="O116" s="60"/>
      <c r="P116" s="69"/>
    </row>
    <row r="117" spans="2:16" ht="15" customHeight="1" x14ac:dyDescent="0.25">
      <c r="B117" s="575">
        <v>2005</v>
      </c>
      <c r="C117" s="30"/>
      <c r="D117" s="11">
        <v>36258</v>
      </c>
      <c r="E117" s="11"/>
      <c r="F117" s="11"/>
      <c r="G117" s="11">
        <v>277</v>
      </c>
      <c r="H117" s="11">
        <v>49125</v>
      </c>
      <c r="I117" s="11">
        <v>523</v>
      </c>
      <c r="J117" s="89">
        <v>30748</v>
      </c>
      <c r="K117" s="60"/>
      <c r="L117" s="60"/>
      <c r="M117" s="60"/>
      <c r="N117" s="60"/>
      <c r="O117" s="60"/>
      <c r="P117" s="69"/>
    </row>
    <row r="118" spans="2:16" ht="15" customHeight="1" x14ac:dyDescent="0.25">
      <c r="B118" s="578">
        <v>2006</v>
      </c>
      <c r="C118" s="318"/>
      <c r="D118" s="300">
        <v>39593</v>
      </c>
      <c r="E118" s="300"/>
      <c r="F118" s="300"/>
      <c r="G118" s="300">
        <v>221</v>
      </c>
      <c r="H118" s="300">
        <v>49237</v>
      </c>
      <c r="I118" s="300">
        <v>210</v>
      </c>
      <c r="J118" s="307">
        <v>35189</v>
      </c>
      <c r="K118" s="60"/>
      <c r="L118" s="60"/>
      <c r="M118" s="60"/>
      <c r="N118" s="60"/>
      <c r="O118" s="60"/>
      <c r="P118" s="69"/>
    </row>
    <row r="119" spans="2:16" ht="15" customHeight="1" x14ac:dyDescent="0.25">
      <c r="B119" s="575">
        <v>2007</v>
      </c>
      <c r="C119" s="30"/>
      <c r="D119" s="11">
        <v>43236</v>
      </c>
      <c r="E119" s="11"/>
      <c r="F119" s="11"/>
      <c r="G119" s="11">
        <v>146</v>
      </c>
      <c r="H119" s="11">
        <v>60388</v>
      </c>
      <c r="I119" s="11">
        <v>0</v>
      </c>
      <c r="J119" s="89">
        <v>23207</v>
      </c>
      <c r="K119" s="60"/>
      <c r="L119" s="60"/>
      <c r="M119" s="60"/>
      <c r="N119" s="60"/>
      <c r="O119" s="60"/>
      <c r="P119" s="69"/>
    </row>
    <row r="120" spans="2:16" ht="15" customHeight="1" x14ac:dyDescent="0.25">
      <c r="B120" s="578">
        <v>2008</v>
      </c>
      <c r="C120" s="318"/>
      <c r="D120" s="300">
        <v>45453</v>
      </c>
      <c r="E120" s="300"/>
      <c r="F120" s="300"/>
      <c r="G120" s="300">
        <v>149</v>
      </c>
      <c r="H120" s="300">
        <v>63490</v>
      </c>
      <c r="I120" s="300"/>
      <c r="J120" s="307">
        <v>20011</v>
      </c>
      <c r="K120" s="60"/>
      <c r="L120" s="60"/>
      <c r="M120" s="60"/>
      <c r="N120" s="60"/>
      <c r="O120" s="60"/>
      <c r="P120" s="69"/>
    </row>
    <row r="121" spans="2:16" ht="15" customHeight="1" x14ac:dyDescent="0.25">
      <c r="B121" s="576">
        <v>2009</v>
      </c>
      <c r="C121" s="83"/>
      <c r="D121" s="75">
        <v>51164</v>
      </c>
      <c r="E121" s="75"/>
      <c r="F121" s="75"/>
      <c r="G121" s="75">
        <v>359</v>
      </c>
      <c r="H121" s="75">
        <v>72907</v>
      </c>
      <c r="I121" s="75"/>
      <c r="J121" s="493">
        <v>24943</v>
      </c>
      <c r="K121" s="60"/>
      <c r="L121" s="60"/>
      <c r="M121" s="60"/>
      <c r="N121" s="60"/>
      <c r="O121" s="60"/>
      <c r="P121" s="69"/>
    </row>
    <row r="122" spans="2:16" ht="15" customHeight="1" x14ac:dyDescent="0.25">
      <c r="B122" s="576">
        <v>2010</v>
      </c>
      <c r="C122" s="83"/>
      <c r="D122" s="75">
        <v>55542</v>
      </c>
      <c r="E122" s="75"/>
      <c r="F122" s="75"/>
      <c r="G122" s="75">
        <v>791</v>
      </c>
      <c r="H122" s="75">
        <v>74908</v>
      </c>
      <c r="I122" s="75"/>
      <c r="J122" s="493">
        <v>21786</v>
      </c>
      <c r="K122" s="60"/>
      <c r="L122" s="60"/>
      <c r="M122" s="60"/>
      <c r="N122" s="60"/>
      <c r="O122" s="60"/>
      <c r="P122" s="69"/>
    </row>
    <row r="123" spans="2:16" ht="15" customHeight="1" x14ac:dyDescent="0.25">
      <c r="B123" s="576">
        <v>2011</v>
      </c>
      <c r="C123" s="83"/>
      <c r="D123" s="75">
        <v>57156</v>
      </c>
      <c r="E123" s="75"/>
      <c r="F123" s="75"/>
      <c r="G123" s="75">
        <v>164</v>
      </c>
      <c r="H123" s="75">
        <v>82557</v>
      </c>
      <c r="I123" s="75"/>
      <c r="J123" s="493">
        <v>20466</v>
      </c>
      <c r="K123" s="60"/>
      <c r="L123" s="60"/>
      <c r="M123" s="60"/>
      <c r="N123" s="60"/>
      <c r="O123" s="60"/>
      <c r="P123" s="69"/>
    </row>
    <row r="124" spans="2:16" ht="15" customHeight="1" x14ac:dyDescent="0.25">
      <c r="B124" s="575">
        <v>2012</v>
      </c>
      <c r="C124" s="30"/>
      <c r="D124" s="11">
        <v>59572</v>
      </c>
      <c r="E124" s="11"/>
      <c r="F124" s="11"/>
      <c r="G124" s="11">
        <v>86</v>
      </c>
      <c r="H124" s="11">
        <v>79916</v>
      </c>
      <c r="I124" s="11"/>
      <c r="J124" s="89">
        <v>30139</v>
      </c>
      <c r="K124" s="60"/>
      <c r="L124" s="60"/>
      <c r="M124" s="60"/>
      <c r="N124" s="60"/>
      <c r="O124" s="60"/>
      <c r="P124" s="69"/>
    </row>
    <row r="125" spans="2:16" ht="15" customHeight="1" x14ac:dyDescent="0.25">
      <c r="B125" s="578">
        <v>2013</v>
      </c>
      <c r="C125" s="318"/>
      <c r="D125" s="300">
        <v>29589</v>
      </c>
      <c r="E125" s="300">
        <v>35373</v>
      </c>
      <c r="F125" s="300"/>
      <c r="G125" s="300">
        <v>87</v>
      </c>
      <c r="H125" s="300">
        <v>91947</v>
      </c>
      <c r="I125" s="300"/>
      <c r="J125" s="307">
        <v>21363</v>
      </c>
      <c r="K125" s="60"/>
      <c r="L125" s="60"/>
      <c r="M125" s="60"/>
      <c r="N125" s="60"/>
      <c r="O125" s="60"/>
      <c r="P125" s="69"/>
    </row>
    <row r="126" spans="2:16" ht="15" customHeight="1" x14ac:dyDescent="0.25">
      <c r="B126" s="576">
        <v>2014</v>
      </c>
      <c r="C126" s="83"/>
      <c r="D126" s="75">
        <v>69062</v>
      </c>
      <c r="E126" s="75">
        <v>0</v>
      </c>
      <c r="F126" s="75"/>
      <c r="G126" s="75">
        <v>88</v>
      </c>
      <c r="H126" s="75">
        <v>87179</v>
      </c>
      <c r="I126" s="75"/>
      <c r="J126" s="493">
        <v>13095</v>
      </c>
      <c r="K126" s="43"/>
      <c r="L126" s="43"/>
      <c r="M126" s="43"/>
      <c r="N126" s="43"/>
      <c r="O126" s="43"/>
      <c r="P126" s="43"/>
    </row>
    <row r="127" spans="2:16" ht="15" customHeight="1" x14ac:dyDescent="0.25">
      <c r="B127" s="576">
        <v>2015</v>
      </c>
      <c r="C127" s="83"/>
      <c r="D127" s="75">
        <v>75865</v>
      </c>
      <c r="E127" s="75"/>
      <c r="F127" s="75"/>
      <c r="G127" s="75">
        <v>61</v>
      </c>
      <c r="H127" s="75">
        <v>92993</v>
      </c>
      <c r="I127" s="75"/>
      <c r="J127" s="92">
        <v>36847</v>
      </c>
      <c r="K127" s="43"/>
      <c r="L127" s="43"/>
      <c r="M127" s="43"/>
      <c r="N127" s="43"/>
      <c r="O127" s="43"/>
      <c r="P127" s="43"/>
    </row>
    <row r="128" spans="2:16" ht="15" customHeight="1" x14ac:dyDescent="0.25">
      <c r="B128" s="576">
        <v>2016</v>
      </c>
      <c r="C128" s="83"/>
      <c r="D128" s="75">
        <v>78686</v>
      </c>
      <c r="E128" s="75"/>
      <c r="F128" s="75"/>
      <c r="G128" s="75">
        <v>80</v>
      </c>
      <c r="H128" s="75">
        <v>83315</v>
      </c>
      <c r="I128" s="75"/>
      <c r="J128" s="92">
        <v>16602</v>
      </c>
      <c r="K128" s="43"/>
      <c r="L128" s="43"/>
      <c r="M128" s="43"/>
      <c r="N128" s="43"/>
      <c r="O128" s="43"/>
      <c r="P128" s="43"/>
    </row>
    <row r="129" spans="2:16" ht="15" customHeight="1" x14ac:dyDescent="0.25">
      <c r="B129" s="575">
        <v>2017</v>
      </c>
      <c r="C129" s="30"/>
      <c r="D129" s="11">
        <v>82998</v>
      </c>
      <c r="E129" s="11"/>
      <c r="F129" s="11"/>
      <c r="G129" s="11">
        <v>78</v>
      </c>
      <c r="H129" s="11">
        <v>87063</v>
      </c>
      <c r="I129" s="11"/>
      <c r="J129" s="10">
        <v>14955</v>
      </c>
      <c r="K129" s="43"/>
      <c r="L129" s="43"/>
      <c r="M129" s="43"/>
      <c r="N129" s="43"/>
      <c r="O129" s="43"/>
      <c r="P129" s="43"/>
    </row>
    <row r="130" spans="2:16" ht="15" customHeight="1" x14ac:dyDescent="0.25">
      <c r="B130" s="578">
        <v>2018</v>
      </c>
      <c r="C130" s="318"/>
      <c r="D130" s="300">
        <v>84575</v>
      </c>
      <c r="E130" s="300"/>
      <c r="F130" s="300"/>
      <c r="G130" s="300">
        <v>69</v>
      </c>
      <c r="H130" s="300">
        <v>91234</v>
      </c>
      <c r="I130" s="300"/>
      <c r="J130" s="301">
        <v>7955</v>
      </c>
      <c r="K130" s="43"/>
      <c r="L130" s="43"/>
      <c r="M130" s="43"/>
      <c r="N130" s="43"/>
      <c r="O130" s="43"/>
      <c r="P130" s="43"/>
    </row>
    <row r="131" spans="2:16" ht="15" customHeight="1" x14ac:dyDescent="0.25">
      <c r="B131" s="576">
        <v>2019</v>
      </c>
      <c r="C131" s="83"/>
      <c r="D131" s="75">
        <v>86960</v>
      </c>
      <c r="E131" s="75"/>
      <c r="F131" s="75"/>
      <c r="G131" s="75">
        <v>73</v>
      </c>
      <c r="H131" s="75">
        <v>88933</v>
      </c>
      <c r="I131" s="75"/>
      <c r="J131" s="92">
        <v>6810</v>
      </c>
      <c r="K131" s="43"/>
      <c r="L131" s="43"/>
      <c r="M131" s="43"/>
      <c r="N131" s="43"/>
      <c r="O131" s="43"/>
      <c r="P131" s="43"/>
    </row>
    <row r="132" spans="2:16" ht="15" customHeight="1" x14ac:dyDescent="0.25">
      <c r="B132" s="576">
        <v>2020</v>
      </c>
      <c r="C132" s="83"/>
      <c r="D132" s="75">
        <v>71750</v>
      </c>
      <c r="E132" s="75"/>
      <c r="F132" s="75"/>
      <c r="G132" s="75">
        <v>83</v>
      </c>
      <c r="H132" s="75">
        <v>76145</v>
      </c>
      <c r="I132" s="75"/>
      <c r="J132" s="92">
        <v>2263</v>
      </c>
      <c r="K132" s="43"/>
      <c r="L132" s="43"/>
      <c r="M132" s="43"/>
      <c r="N132" s="43"/>
      <c r="O132" s="43"/>
      <c r="P132" s="43"/>
    </row>
    <row r="133" spans="2:16" ht="15" customHeight="1" thickBot="1" x14ac:dyDescent="0.3">
      <c r="B133" s="719">
        <v>2021</v>
      </c>
      <c r="C133" s="793"/>
      <c r="D133" s="718">
        <v>84866</v>
      </c>
      <c r="E133" s="718"/>
      <c r="F133" s="718"/>
      <c r="G133" s="718">
        <v>45</v>
      </c>
      <c r="H133" s="718">
        <v>89484</v>
      </c>
      <c r="I133" s="718"/>
      <c r="J133" s="792">
        <v>10500</v>
      </c>
      <c r="K133" s="43"/>
      <c r="L133" s="43"/>
      <c r="M133" s="43"/>
      <c r="N133" s="43"/>
      <c r="O133" s="43"/>
      <c r="P133" s="43"/>
    </row>
    <row r="134" spans="2:16" ht="15" customHeight="1" x14ac:dyDescent="0.25">
      <c r="B134" s="463"/>
      <c r="C134" s="24"/>
      <c r="D134" s="24"/>
      <c r="E134" s="24"/>
      <c r="F134" s="24"/>
      <c r="G134" s="24"/>
      <c r="H134" s="24"/>
      <c r="I134" s="24"/>
      <c r="J134" s="24"/>
      <c r="K134" s="43"/>
      <c r="L134" s="43"/>
      <c r="M134" s="43"/>
      <c r="N134" s="43"/>
      <c r="O134" s="43"/>
      <c r="P134" s="43"/>
    </row>
    <row r="135" spans="2:16" ht="15" customHeight="1" thickBot="1" x14ac:dyDescent="0.3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2:16" ht="39.9" customHeight="1" thickBot="1" x14ac:dyDescent="0.3">
      <c r="B136" s="565" t="s">
        <v>100</v>
      </c>
      <c r="C136" s="583" t="s">
        <v>127</v>
      </c>
      <c r="D136" s="567" t="s">
        <v>35</v>
      </c>
      <c r="E136" s="567"/>
      <c r="F136" s="567" t="s">
        <v>36</v>
      </c>
      <c r="G136" s="563" t="s">
        <v>133</v>
      </c>
      <c r="H136" s="563" t="s">
        <v>177</v>
      </c>
      <c r="I136" s="584" t="s">
        <v>143</v>
      </c>
      <c r="J136" s="565" t="s">
        <v>78</v>
      </c>
    </row>
    <row r="137" spans="2:16" s="67" customFormat="1" ht="15" customHeight="1" x14ac:dyDescent="0.25">
      <c r="B137" s="569"/>
      <c r="C137" s="314"/>
      <c r="D137" s="71"/>
      <c r="E137" s="71"/>
      <c r="F137" s="71"/>
      <c r="G137" s="72"/>
      <c r="H137" s="72"/>
      <c r="I137" s="302"/>
      <c r="J137" s="319"/>
      <c r="O137" s="31"/>
      <c r="P137" s="12"/>
    </row>
    <row r="138" spans="2:16" ht="15" customHeight="1" x14ac:dyDescent="0.25">
      <c r="B138" s="570" t="s">
        <v>119</v>
      </c>
      <c r="C138" s="30"/>
      <c r="D138" s="11"/>
      <c r="E138" s="11"/>
      <c r="F138" s="11"/>
      <c r="G138" s="11"/>
      <c r="H138" s="11"/>
      <c r="I138" s="137"/>
      <c r="J138" s="320"/>
      <c r="K138" s="438"/>
      <c r="O138" s="12"/>
      <c r="P138" s="12"/>
    </row>
    <row r="139" spans="2:16" ht="15" customHeight="1" x14ac:dyDescent="0.25">
      <c r="B139" s="571">
        <v>1999</v>
      </c>
      <c r="C139" s="29">
        <f t="shared" ref="C139:D143" si="6">+C166+C191+C216+C241</f>
        <v>11157</v>
      </c>
      <c r="D139" s="17">
        <f t="shared" si="6"/>
        <v>78</v>
      </c>
      <c r="E139" s="17"/>
      <c r="F139" s="17">
        <f t="shared" ref="F139:G156" si="7">+F166+F191+F216+F241</f>
        <v>48214</v>
      </c>
      <c r="G139" s="17">
        <f t="shared" si="7"/>
        <v>618</v>
      </c>
      <c r="H139" s="17"/>
      <c r="I139" s="138"/>
      <c r="J139" s="321">
        <f t="shared" ref="J139:J161" si="8">SUM(C9:J9,C139:I139)</f>
        <v>486321</v>
      </c>
      <c r="K139" s="438"/>
      <c r="N139" s="438"/>
      <c r="O139" s="69"/>
      <c r="P139" s="12"/>
    </row>
    <row r="140" spans="2:16" ht="15" customHeight="1" x14ac:dyDescent="0.25">
      <c r="B140" s="571">
        <v>2000</v>
      </c>
      <c r="C140" s="29">
        <f t="shared" si="6"/>
        <v>8997</v>
      </c>
      <c r="D140" s="17">
        <f t="shared" si="6"/>
        <v>84</v>
      </c>
      <c r="E140" s="17"/>
      <c r="F140" s="17">
        <f t="shared" si="7"/>
        <v>48380</v>
      </c>
      <c r="G140" s="17">
        <f t="shared" si="7"/>
        <v>589</v>
      </c>
      <c r="H140" s="17"/>
      <c r="I140" s="138"/>
      <c r="J140" s="321">
        <f t="shared" si="8"/>
        <v>426260</v>
      </c>
      <c r="K140" s="438"/>
      <c r="N140" s="438"/>
      <c r="O140" s="69"/>
      <c r="P140" s="12"/>
    </row>
    <row r="141" spans="2:16" ht="15" customHeight="1" x14ac:dyDescent="0.25">
      <c r="B141" s="571">
        <v>2001</v>
      </c>
      <c r="C141" s="29">
        <f t="shared" si="6"/>
        <v>6989</v>
      </c>
      <c r="D141" s="17">
        <f t="shared" si="6"/>
        <v>70</v>
      </c>
      <c r="E141" s="17"/>
      <c r="F141" s="17">
        <f t="shared" si="7"/>
        <v>48934</v>
      </c>
      <c r="G141" s="29">
        <f t="shared" si="7"/>
        <v>1542</v>
      </c>
      <c r="H141" s="29"/>
      <c r="I141" s="303"/>
      <c r="J141" s="321">
        <f t="shared" si="8"/>
        <v>492046</v>
      </c>
      <c r="K141" s="438"/>
      <c r="N141" s="438"/>
      <c r="O141" s="69"/>
      <c r="P141" s="12"/>
    </row>
    <row r="142" spans="2:16" ht="15" customHeight="1" x14ac:dyDescent="0.25">
      <c r="B142" s="571">
        <v>2002</v>
      </c>
      <c r="C142" s="29">
        <f t="shared" si="6"/>
        <v>5731</v>
      </c>
      <c r="D142" s="17">
        <f t="shared" si="6"/>
        <v>99</v>
      </c>
      <c r="E142" s="17"/>
      <c r="F142" s="17">
        <f t="shared" si="7"/>
        <v>49209</v>
      </c>
      <c r="G142" s="29">
        <f t="shared" si="7"/>
        <v>544</v>
      </c>
      <c r="H142" s="29"/>
      <c r="I142" s="303"/>
      <c r="J142" s="321">
        <f t="shared" si="8"/>
        <v>501799</v>
      </c>
      <c r="K142" s="438"/>
      <c r="N142" s="438"/>
      <c r="O142" s="69"/>
      <c r="P142" s="12"/>
    </row>
    <row r="143" spans="2:16" ht="15" customHeight="1" x14ac:dyDescent="0.25">
      <c r="B143" s="571">
        <v>2003</v>
      </c>
      <c r="C143" s="29">
        <f t="shared" si="6"/>
        <v>6365</v>
      </c>
      <c r="D143" s="17">
        <f t="shared" si="6"/>
        <v>25</v>
      </c>
      <c r="E143" s="17"/>
      <c r="F143" s="17">
        <f t="shared" si="7"/>
        <v>47685</v>
      </c>
      <c r="G143" s="17">
        <f t="shared" si="7"/>
        <v>618</v>
      </c>
      <c r="H143" s="17">
        <f t="shared" ref="H143:H156" si="9">+H170+H195+H220+H245</f>
        <v>56813</v>
      </c>
      <c r="I143" s="138"/>
      <c r="J143" s="321">
        <f t="shared" si="8"/>
        <v>621165</v>
      </c>
      <c r="K143" s="438"/>
      <c r="N143" s="438"/>
      <c r="O143" s="69"/>
      <c r="P143" s="12"/>
    </row>
    <row r="144" spans="2:16" ht="15" customHeight="1" x14ac:dyDescent="0.25">
      <c r="B144" s="571">
        <v>2004</v>
      </c>
      <c r="C144" s="29">
        <f t="shared" ref="C144:C161" si="10">+C171+C196+C221+C246</f>
        <v>6290</v>
      </c>
      <c r="D144" s="17"/>
      <c r="E144" s="17"/>
      <c r="F144" s="17">
        <f t="shared" si="7"/>
        <v>52693</v>
      </c>
      <c r="G144" s="17">
        <f t="shared" si="7"/>
        <v>391</v>
      </c>
      <c r="H144" s="17">
        <f t="shared" si="9"/>
        <v>56204</v>
      </c>
      <c r="I144" s="138">
        <f t="shared" ref="I144:I161" si="11">+I171+I196+I221+I246</f>
        <v>2842</v>
      </c>
      <c r="J144" s="321">
        <f t="shared" si="8"/>
        <v>604507</v>
      </c>
      <c r="K144" s="438"/>
      <c r="N144" s="438"/>
      <c r="O144" s="69"/>
      <c r="P144" s="12"/>
    </row>
    <row r="145" spans="2:16" ht="15" customHeight="1" x14ac:dyDescent="0.25">
      <c r="B145" s="571">
        <v>2005</v>
      </c>
      <c r="C145" s="29">
        <f t="shared" si="10"/>
        <v>6329</v>
      </c>
      <c r="D145" s="17"/>
      <c r="E145" s="29"/>
      <c r="F145" s="29">
        <f t="shared" si="7"/>
        <v>56253</v>
      </c>
      <c r="G145" s="29">
        <f t="shared" si="7"/>
        <v>444</v>
      </c>
      <c r="H145" s="29">
        <f t="shared" si="9"/>
        <v>60581</v>
      </c>
      <c r="I145" s="29">
        <f t="shared" si="11"/>
        <v>2730</v>
      </c>
      <c r="J145" s="321">
        <f t="shared" si="8"/>
        <v>599727</v>
      </c>
      <c r="K145" s="438"/>
      <c r="N145" s="438"/>
      <c r="O145" s="69"/>
      <c r="P145" s="12"/>
    </row>
    <row r="146" spans="2:16" ht="15" customHeight="1" x14ac:dyDescent="0.25">
      <c r="B146" s="571">
        <v>2006</v>
      </c>
      <c r="C146" s="29">
        <f t="shared" si="10"/>
        <v>12798</v>
      </c>
      <c r="D146" s="17"/>
      <c r="E146" s="29"/>
      <c r="F146" s="29">
        <f t="shared" si="7"/>
        <v>62544</v>
      </c>
      <c r="G146" s="29">
        <f t="shared" si="7"/>
        <v>424</v>
      </c>
      <c r="H146" s="29">
        <f t="shared" si="9"/>
        <v>69714</v>
      </c>
      <c r="I146" s="29">
        <f t="shared" si="11"/>
        <v>3607</v>
      </c>
      <c r="J146" s="321">
        <f t="shared" si="8"/>
        <v>636233</v>
      </c>
      <c r="K146" s="438"/>
      <c r="N146" s="438"/>
      <c r="O146" s="69"/>
      <c r="P146" s="79"/>
    </row>
    <row r="147" spans="2:16" ht="15" customHeight="1" x14ac:dyDescent="0.25">
      <c r="B147" s="571">
        <v>2007</v>
      </c>
      <c r="C147" s="29">
        <f t="shared" si="10"/>
        <v>12553</v>
      </c>
      <c r="D147" s="17"/>
      <c r="E147" s="29"/>
      <c r="F147" s="29">
        <f t="shared" si="7"/>
        <v>65523</v>
      </c>
      <c r="G147" s="29">
        <f t="shared" si="7"/>
        <v>477</v>
      </c>
      <c r="H147" s="29">
        <f t="shared" si="9"/>
        <v>85621</v>
      </c>
      <c r="I147" s="29">
        <f t="shared" si="11"/>
        <v>3782</v>
      </c>
      <c r="J147" s="321">
        <f t="shared" si="8"/>
        <v>731409</v>
      </c>
      <c r="K147" s="438"/>
      <c r="N147" s="438"/>
      <c r="O147" s="69"/>
      <c r="P147" s="79"/>
    </row>
    <row r="148" spans="2:16" ht="15" customHeight="1" x14ac:dyDescent="0.25">
      <c r="B148" s="571">
        <v>2008</v>
      </c>
      <c r="C148" s="29">
        <f t="shared" si="10"/>
        <v>13243</v>
      </c>
      <c r="D148" s="17"/>
      <c r="E148" s="29"/>
      <c r="F148" s="29">
        <f t="shared" si="7"/>
        <v>67094</v>
      </c>
      <c r="G148" s="29">
        <f t="shared" si="7"/>
        <v>422</v>
      </c>
      <c r="H148" s="29">
        <f t="shared" si="9"/>
        <v>98944</v>
      </c>
      <c r="I148" s="29">
        <f t="shared" si="11"/>
        <v>2265</v>
      </c>
      <c r="J148" s="321">
        <f t="shared" si="8"/>
        <v>740721</v>
      </c>
      <c r="K148" s="438"/>
      <c r="N148" s="438"/>
      <c r="O148" s="69"/>
      <c r="P148" s="79"/>
    </row>
    <row r="149" spans="2:16" ht="15" customHeight="1" x14ac:dyDescent="0.25">
      <c r="B149" s="571">
        <v>2009</v>
      </c>
      <c r="C149" s="29">
        <f t="shared" si="10"/>
        <v>13753</v>
      </c>
      <c r="D149" s="17"/>
      <c r="E149" s="29"/>
      <c r="F149" s="29">
        <f t="shared" si="7"/>
        <v>67556</v>
      </c>
      <c r="G149" s="29">
        <f t="shared" si="7"/>
        <v>396</v>
      </c>
      <c r="H149" s="29">
        <f t="shared" si="9"/>
        <v>108790</v>
      </c>
      <c r="I149" s="29">
        <f t="shared" si="11"/>
        <v>2260.4</v>
      </c>
      <c r="J149" s="321">
        <f t="shared" si="8"/>
        <v>762122.4</v>
      </c>
      <c r="K149" s="438"/>
      <c r="N149" s="438"/>
      <c r="O149" s="69"/>
      <c r="P149" s="79"/>
    </row>
    <row r="150" spans="2:16" ht="15" customHeight="1" x14ac:dyDescent="0.25">
      <c r="B150" s="571">
        <v>2010</v>
      </c>
      <c r="C150" s="29">
        <f t="shared" si="10"/>
        <v>11097</v>
      </c>
      <c r="D150" s="17"/>
      <c r="E150" s="29"/>
      <c r="F150" s="29">
        <f t="shared" si="7"/>
        <v>70348</v>
      </c>
      <c r="G150" s="29">
        <f t="shared" si="7"/>
        <v>408</v>
      </c>
      <c r="H150" s="29">
        <f t="shared" si="9"/>
        <v>117770</v>
      </c>
      <c r="I150" s="29">
        <f t="shared" si="11"/>
        <v>2182</v>
      </c>
      <c r="J150" s="321">
        <f t="shared" si="8"/>
        <v>850700</v>
      </c>
      <c r="K150" s="438"/>
      <c r="N150" s="438"/>
      <c r="O150" s="69"/>
      <c r="P150" s="79"/>
    </row>
    <row r="151" spans="2:16" ht="15" customHeight="1" x14ac:dyDescent="0.25">
      <c r="B151" s="571">
        <v>2011</v>
      </c>
      <c r="C151" s="29">
        <f t="shared" si="10"/>
        <v>20576</v>
      </c>
      <c r="D151" s="17"/>
      <c r="E151" s="29"/>
      <c r="F151" s="29">
        <f t="shared" si="7"/>
        <v>73246</v>
      </c>
      <c r="G151" s="29">
        <f t="shared" si="7"/>
        <v>406</v>
      </c>
      <c r="H151" s="29">
        <f t="shared" si="9"/>
        <v>135524</v>
      </c>
      <c r="I151" s="29">
        <f t="shared" si="11"/>
        <v>1305</v>
      </c>
      <c r="J151" s="321">
        <f t="shared" si="8"/>
        <v>946147</v>
      </c>
      <c r="K151" s="438"/>
      <c r="N151" s="438"/>
      <c r="O151" s="69"/>
      <c r="P151" s="79"/>
    </row>
    <row r="152" spans="2:16" ht="15" customHeight="1" x14ac:dyDescent="0.25">
      <c r="B152" s="571">
        <v>2012</v>
      </c>
      <c r="C152" s="29">
        <f t="shared" si="10"/>
        <v>19031</v>
      </c>
      <c r="D152" s="17"/>
      <c r="E152" s="29"/>
      <c r="F152" s="29">
        <f t="shared" si="7"/>
        <v>76420</v>
      </c>
      <c r="G152" s="29">
        <f t="shared" si="7"/>
        <v>464</v>
      </c>
      <c r="H152" s="29">
        <f t="shared" si="9"/>
        <v>161618</v>
      </c>
      <c r="I152" s="29">
        <f t="shared" si="11"/>
        <v>1208</v>
      </c>
      <c r="J152" s="321">
        <f t="shared" si="8"/>
        <v>967295</v>
      </c>
      <c r="K152" s="438"/>
      <c r="N152" s="438"/>
      <c r="O152" s="69"/>
      <c r="P152" s="79"/>
    </row>
    <row r="153" spans="2:16" ht="15" customHeight="1" x14ac:dyDescent="0.25">
      <c r="B153" s="571">
        <v>2013</v>
      </c>
      <c r="C153" s="29">
        <f t="shared" si="10"/>
        <v>12327</v>
      </c>
      <c r="D153" s="17"/>
      <c r="E153" s="29"/>
      <c r="F153" s="29">
        <f t="shared" si="7"/>
        <v>79355</v>
      </c>
      <c r="G153" s="29">
        <f t="shared" si="7"/>
        <v>492</v>
      </c>
      <c r="H153" s="29">
        <f t="shared" si="9"/>
        <v>174043</v>
      </c>
      <c r="I153" s="29">
        <f t="shared" si="11"/>
        <v>1156</v>
      </c>
      <c r="J153" s="321">
        <f t="shared" si="8"/>
        <v>991450</v>
      </c>
      <c r="K153" s="438"/>
      <c r="N153" s="438"/>
      <c r="O153" s="69"/>
      <c r="P153" s="79"/>
    </row>
    <row r="154" spans="2:16" ht="15" customHeight="1" x14ac:dyDescent="0.25">
      <c r="B154" s="571">
        <v>2014</v>
      </c>
      <c r="C154" s="29">
        <f t="shared" si="10"/>
        <v>14225</v>
      </c>
      <c r="D154" s="17"/>
      <c r="E154" s="29"/>
      <c r="F154" s="29">
        <f t="shared" si="7"/>
        <v>84614</v>
      </c>
      <c r="G154" s="29">
        <f t="shared" si="7"/>
        <v>637</v>
      </c>
      <c r="H154" s="29">
        <f t="shared" si="9"/>
        <v>197612</v>
      </c>
      <c r="I154" s="29">
        <f t="shared" si="11"/>
        <v>1514</v>
      </c>
      <c r="J154" s="321">
        <f t="shared" si="8"/>
        <v>1050501</v>
      </c>
      <c r="K154" s="438"/>
      <c r="N154" s="438"/>
      <c r="O154" s="69"/>
      <c r="P154" s="79"/>
    </row>
    <row r="155" spans="2:16" ht="15" customHeight="1" x14ac:dyDescent="0.25">
      <c r="B155" s="571">
        <v>2015</v>
      </c>
      <c r="C155" s="29">
        <f t="shared" si="10"/>
        <v>13622</v>
      </c>
      <c r="D155" s="17"/>
      <c r="E155" s="29"/>
      <c r="F155" s="29">
        <f t="shared" si="7"/>
        <v>86083</v>
      </c>
      <c r="G155" s="29">
        <f t="shared" si="7"/>
        <v>790</v>
      </c>
      <c r="H155" s="29">
        <f t="shared" si="9"/>
        <v>212781</v>
      </c>
      <c r="I155" s="29">
        <f t="shared" si="11"/>
        <v>1498</v>
      </c>
      <c r="J155" s="321">
        <f t="shared" si="8"/>
        <v>1084236</v>
      </c>
      <c r="K155" s="438"/>
      <c r="N155" s="438"/>
      <c r="O155" s="69"/>
      <c r="P155" s="79"/>
    </row>
    <row r="156" spans="2:16" ht="15" customHeight="1" x14ac:dyDescent="0.25">
      <c r="B156" s="571">
        <v>2016</v>
      </c>
      <c r="C156" s="29">
        <f t="shared" si="10"/>
        <v>15410</v>
      </c>
      <c r="D156" s="17"/>
      <c r="E156" s="29"/>
      <c r="F156" s="29">
        <f t="shared" si="7"/>
        <v>90974</v>
      </c>
      <c r="G156" s="29">
        <f t="shared" si="7"/>
        <v>851</v>
      </c>
      <c r="H156" s="29">
        <f t="shared" si="9"/>
        <v>224722</v>
      </c>
      <c r="I156" s="29">
        <f t="shared" si="11"/>
        <v>1293</v>
      </c>
      <c r="J156" s="321">
        <f t="shared" si="8"/>
        <v>1127933</v>
      </c>
      <c r="K156" s="438"/>
      <c r="N156" s="438"/>
      <c r="O156" s="69"/>
      <c r="P156" s="79"/>
    </row>
    <row r="157" spans="2:16" ht="15" customHeight="1" x14ac:dyDescent="0.25">
      <c r="B157" s="571">
        <v>2017</v>
      </c>
      <c r="C157" s="29">
        <f t="shared" si="10"/>
        <v>15347</v>
      </c>
      <c r="D157" s="17"/>
      <c r="E157" s="29"/>
      <c r="F157" s="29">
        <f>+F184+F209+F234+F259</f>
        <v>93762</v>
      </c>
      <c r="G157" s="29">
        <f t="shared" ref="G157:H157" si="12">+G184+G209+G234+G259</f>
        <v>850</v>
      </c>
      <c r="H157" s="29">
        <f t="shared" si="12"/>
        <v>228237</v>
      </c>
      <c r="I157" s="29">
        <f t="shared" si="11"/>
        <v>1383</v>
      </c>
      <c r="J157" s="321">
        <f t="shared" si="8"/>
        <v>1151917</v>
      </c>
      <c r="K157" s="438"/>
      <c r="N157" s="438"/>
      <c r="O157" s="69"/>
      <c r="P157" s="79"/>
    </row>
    <row r="158" spans="2:16" ht="15" customHeight="1" x14ac:dyDescent="0.25">
      <c r="B158" s="571">
        <v>2018</v>
      </c>
      <c r="C158" s="29">
        <f t="shared" si="10"/>
        <v>11756</v>
      </c>
      <c r="D158" s="17"/>
      <c r="E158" s="29"/>
      <c r="F158" s="29">
        <f>+F185+F210+F235+F260</f>
        <v>97473</v>
      </c>
      <c r="G158" s="29">
        <f t="shared" ref="G158:H161" si="13">+G185+G210+G235+G260</f>
        <v>1175</v>
      </c>
      <c r="H158" s="29">
        <f t="shared" si="13"/>
        <v>238725</v>
      </c>
      <c r="I158" s="29">
        <f t="shared" si="11"/>
        <v>1407</v>
      </c>
      <c r="J158" s="321">
        <f t="shared" si="8"/>
        <v>1107147</v>
      </c>
      <c r="K158" s="438"/>
      <c r="L158" s="438"/>
      <c r="N158" s="438"/>
      <c r="O158" s="69"/>
      <c r="P158" s="79"/>
    </row>
    <row r="159" spans="2:16" ht="15" customHeight="1" x14ac:dyDescent="0.25">
      <c r="B159" s="571">
        <v>2019</v>
      </c>
      <c r="C159" s="29">
        <f t="shared" si="10"/>
        <v>13967</v>
      </c>
      <c r="D159" s="17"/>
      <c r="E159" s="29"/>
      <c r="F159" s="29">
        <f>+F186+F211+F236+F261</f>
        <v>97528</v>
      </c>
      <c r="G159" s="29">
        <f t="shared" si="13"/>
        <v>897</v>
      </c>
      <c r="H159" s="29">
        <f t="shared" si="13"/>
        <v>240311</v>
      </c>
      <c r="I159" s="29">
        <f t="shared" si="11"/>
        <v>1402</v>
      </c>
      <c r="J159" s="321">
        <f t="shared" si="8"/>
        <v>1128717</v>
      </c>
      <c r="K159" s="438"/>
      <c r="L159" s="438"/>
      <c r="N159" s="438"/>
      <c r="O159" s="69"/>
      <c r="P159" s="79"/>
    </row>
    <row r="160" spans="2:16" ht="15" customHeight="1" x14ac:dyDescent="0.25">
      <c r="B160" s="571">
        <v>2020</v>
      </c>
      <c r="C160" s="29">
        <f t="shared" si="10"/>
        <v>7190</v>
      </c>
      <c r="D160" s="17"/>
      <c r="E160" s="29"/>
      <c r="F160" s="29">
        <f>+F187+F212+F237+F262</f>
        <v>93747</v>
      </c>
      <c r="G160" s="29">
        <f t="shared" si="13"/>
        <v>502</v>
      </c>
      <c r="H160" s="29">
        <f t="shared" si="13"/>
        <v>84387</v>
      </c>
      <c r="I160" s="29">
        <f t="shared" si="11"/>
        <v>1107</v>
      </c>
      <c r="J160" s="321">
        <f t="shared" si="8"/>
        <v>723058</v>
      </c>
      <c r="K160" s="438"/>
      <c r="L160" s="438"/>
      <c r="N160" s="438"/>
      <c r="O160" s="69"/>
      <c r="P160" s="79"/>
    </row>
    <row r="161" spans="2:16" ht="15" customHeight="1" x14ac:dyDescent="0.25">
      <c r="B161" s="571">
        <v>2021</v>
      </c>
      <c r="C161" s="29">
        <f t="shared" si="10"/>
        <v>8345</v>
      </c>
      <c r="D161" s="17"/>
      <c r="E161" s="29"/>
      <c r="F161" s="29">
        <f>+F188+F213+F238+F263</f>
        <v>98662</v>
      </c>
      <c r="G161" s="29">
        <f t="shared" si="13"/>
        <v>783</v>
      </c>
      <c r="H161" s="29">
        <f t="shared" si="13"/>
        <v>132964</v>
      </c>
      <c r="I161" s="29">
        <f t="shared" si="11"/>
        <v>1362</v>
      </c>
      <c r="J161" s="321">
        <f t="shared" si="8"/>
        <v>921515</v>
      </c>
      <c r="K161" s="438"/>
      <c r="L161" s="438"/>
      <c r="N161" s="438"/>
      <c r="O161" s="69"/>
      <c r="P161" s="79"/>
    </row>
    <row r="162" spans="2:16" ht="15" customHeight="1" x14ac:dyDescent="0.25">
      <c r="B162" s="572" t="s">
        <v>92</v>
      </c>
      <c r="C162" s="440" t="e">
        <f>RATE(-22,,-C161,C139)</f>
        <v>#NUM!</v>
      </c>
      <c r="D162" s="653"/>
      <c r="E162" s="440"/>
      <c r="F162" s="440">
        <f>RATE(-22,,-F161,F139)</f>
        <v>3.3083218493453317E-2</v>
      </c>
      <c r="G162" s="440">
        <f>RATE(-22,,-G161,G139)</f>
        <v>1.0814616036193513E-2</v>
      </c>
      <c r="H162" s="440" t="e">
        <f>RATE(-22,,-H161,H139)</f>
        <v>#NUM!</v>
      </c>
      <c r="I162" s="440" t="e">
        <f>RATE(-22,,-I161,I139)</f>
        <v>#NUM!</v>
      </c>
      <c r="J162" s="827">
        <f>RATE(-22,,-J161,J139)</f>
        <v>2.947841396989977E-2</v>
      </c>
      <c r="K162" s="81"/>
      <c r="O162" s="69"/>
      <c r="P162" s="79"/>
    </row>
    <row r="163" spans="2:16" ht="15" customHeight="1" thickBot="1" x14ac:dyDescent="0.3">
      <c r="B163" s="573"/>
      <c r="C163" s="316"/>
      <c r="D163" s="73"/>
      <c r="E163" s="73"/>
      <c r="F163" s="73"/>
      <c r="G163" s="73"/>
      <c r="H163" s="73"/>
      <c r="I163" s="146"/>
      <c r="J163" s="322"/>
      <c r="L163" s="438"/>
      <c r="M163" s="438"/>
      <c r="N163" s="438"/>
      <c r="O163" s="70"/>
      <c r="P163" s="12"/>
    </row>
    <row r="164" spans="2:16" ht="15" customHeight="1" x14ac:dyDescent="0.25">
      <c r="B164" s="579"/>
      <c r="C164" s="317"/>
      <c r="D164" s="15"/>
      <c r="E164" s="15"/>
      <c r="F164" s="15"/>
      <c r="G164" s="15"/>
      <c r="H164" s="15"/>
      <c r="I164" s="136"/>
      <c r="J164" s="323"/>
      <c r="O164" s="12"/>
      <c r="P164" s="12"/>
    </row>
    <row r="165" spans="2:16" ht="15" customHeight="1" x14ac:dyDescent="0.25">
      <c r="B165" s="570" t="s">
        <v>115</v>
      </c>
      <c r="C165" s="30"/>
      <c r="D165" s="11"/>
      <c r="E165" s="11"/>
      <c r="F165" s="11"/>
      <c r="G165" s="11"/>
      <c r="H165" s="11"/>
      <c r="I165" s="137"/>
      <c r="J165" s="320"/>
      <c r="O165" s="12"/>
      <c r="P165" s="12"/>
    </row>
    <row r="166" spans="2:16" ht="15" customHeight="1" x14ac:dyDescent="0.25">
      <c r="B166" s="575">
        <v>1999</v>
      </c>
      <c r="C166" s="30">
        <v>3477</v>
      </c>
      <c r="D166" s="11">
        <v>15</v>
      </c>
      <c r="E166" s="11"/>
      <c r="F166" s="11">
        <v>11715</v>
      </c>
      <c r="G166" s="11">
        <v>155</v>
      </c>
      <c r="H166" s="11"/>
      <c r="I166" s="137"/>
      <c r="J166" s="321">
        <f t="shared" ref="J166:J188" si="14">SUM(C36:J36,C166:I166)</f>
        <v>131705</v>
      </c>
      <c r="K166" s="438"/>
      <c r="L166" s="438"/>
      <c r="O166" s="69"/>
      <c r="P166" s="12"/>
    </row>
    <row r="167" spans="2:16" ht="15" customHeight="1" x14ac:dyDescent="0.25">
      <c r="B167" s="575">
        <v>2000</v>
      </c>
      <c r="C167" s="30">
        <v>2611</v>
      </c>
      <c r="D167" s="11">
        <v>20</v>
      </c>
      <c r="E167" s="11"/>
      <c r="F167" s="11">
        <v>12105</v>
      </c>
      <c r="G167" s="11">
        <v>146</v>
      </c>
      <c r="H167" s="11"/>
      <c r="I167" s="137"/>
      <c r="J167" s="321">
        <f t="shared" si="14"/>
        <v>105404</v>
      </c>
      <c r="K167" s="438"/>
      <c r="O167" s="69"/>
      <c r="P167" s="12"/>
    </row>
    <row r="168" spans="2:16" ht="15" customHeight="1" x14ac:dyDescent="0.25">
      <c r="B168" s="575">
        <v>2001</v>
      </c>
      <c r="C168" s="30">
        <v>1938</v>
      </c>
      <c r="D168" s="11">
        <v>24</v>
      </c>
      <c r="E168" s="11"/>
      <c r="F168" s="11">
        <v>12094</v>
      </c>
      <c r="G168" s="11">
        <v>138</v>
      </c>
      <c r="H168" s="11"/>
      <c r="I168" s="137"/>
      <c r="J168" s="321">
        <f t="shared" si="14"/>
        <v>112807</v>
      </c>
      <c r="K168" s="438"/>
      <c r="O168" s="69"/>
      <c r="P168" s="12"/>
    </row>
    <row r="169" spans="2:16" ht="15" customHeight="1" x14ac:dyDescent="0.25">
      <c r="B169" s="575">
        <v>2002</v>
      </c>
      <c r="C169" s="30">
        <v>1456</v>
      </c>
      <c r="D169" s="11">
        <v>15</v>
      </c>
      <c r="E169" s="11"/>
      <c r="F169" s="11">
        <v>11880</v>
      </c>
      <c r="G169" s="11">
        <v>142</v>
      </c>
      <c r="H169" s="11"/>
      <c r="I169" s="137"/>
      <c r="J169" s="321">
        <f t="shared" si="14"/>
        <v>131804</v>
      </c>
      <c r="K169" s="438"/>
      <c r="O169" s="69"/>
      <c r="P169" s="12"/>
    </row>
    <row r="170" spans="2:16" ht="15" customHeight="1" x14ac:dyDescent="0.25">
      <c r="B170" s="575">
        <v>2003</v>
      </c>
      <c r="C170" s="30">
        <v>1688</v>
      </c>
      <c r="D170" s="11">
        <v>10</v>
      </c>
      <c r="E170" s="11"/>
      <c r="F170" s="11">
        <v>11160</v>
      </c>
      <c r="G170" s="11">
        <v>183</v>
      </c>
      <c r="H170" s="11">
        <v>14356</v>
      </c>
      <c r="I170" s="137"/>
      <c r="J170" s="321">
        <f t="shared" si="14"/>
        <v>153282</v>
      </c>
      <c r="K170" s="438"/>
      <c r="O170" s="69"/>
      <c r="P170" s="12"/>
    </row>
    <row r="171" spans="2:16" ht="15" customHeight="1" x14ac:dyDescent="0.25">
      <c r="B171" s="575">
        <v>2004</v>
      </c>
      <c r="C171" s="30">
        <v>1766</v>
      </c>
      <c r="D171" s="11"/>
      <c r="E171" s="11"/>
      <c r="F171" s="11">
        <v>13208</v>
      </c>
      <c r="G171" s="11">
        <v>113</v>
      </c>
      <c r="H171" s="11">
        <v>14060</v>
      </c>
      <c r="I171" s="137">
        <v>726</v>
      </c>
      <c r="J171" s="321">
        <f t="shared" si="14"/>
        <v>168836</v>
      </c>
      <c r="K171" s="438"/>
      <c r="O171" s="69"/>
      <c r="P171" s="12"/>
    </row>
    <row r="172" spans="2:16" ht="15" customHeight="1" x14ac:dyDescent="0.25">
      <c r="B172" s="575">
        <v>2005</v>
      </c>
      <c r="C172" s="30">
        <v>1371</v>
      </c>
      <c r="D172" s="11"/>
      <c r="E172" s="11"/>
      <c r="F172" s="11">
        <v>13351</v>
      </c>
      <c r="G172" s="11">
        <v>116</v>
      </c>
      <c r="H172" s="11">
        <v>14425</v>
      </c>
      <c r="I172" s="137">
        <v>752</v>
      </c>
      <c r="J172" s="321">
        <f t="shared" si="14"/>
        <v>144657</v>
      </c>
      <c r="K172" s="438"/>
      <c r="O172" s="69"/>
      <c r="P172" s="12"/>
    </row>
    <row r="173" spans="2:16" ht="15" customHeight="1" x14ac:dyDescent="0.25">
      <c r="B173" s="575">
        <v>2006</v>
      </c>
      <c r="C173" s="30">
        <v>2549</v>
      </c>
      <c r="D173" s="11"/>
      <c r="E173" s="11"/>
      <c r="F173" s="11">
        <f>14621-352</f>
        <v>14269</v>
      </c>
      <c r="G173" s="11">
        <v>106</v>
      </c>
      <c r="H173" s="11">
        <v>16535</v>
      </c>
      <c r="I173" s="137">
        <v>817</v>
      </c>
      <c r="J173" s="321">
        <f t="shared" si="14"/>
        <v>157056</v>
      </c>
      <c r="K173" s="438"/>
      <c r="L173" s="438"/>
      <c r="M173" s="441"/>
      <c r="O173" s="69"/>
      <c r="P173" s="12"/>
    </row>
    <row r="174" spans="2:16" ht="15" customHeight="1" x14ac:dyDescent="0.25">
      <c r="B174" s="575">
        <v>2007</v>
      </c>
      <c r="C174" s="30">
        <v>3578</v>
      </c>
      <c r="D174" s="11"/>
      <c r="E174" s="11"/>
      <c r="F174" s="11">
        <v>15955</v>
      </c>
      <c r="G174" s="11">
        <v>127</v>
      </c>
      <c r="H174" s="11">
        <v>21028</v>
      </c>
      <c r="I174" s="137">
        <v>893</v>
      </c>
      <c r="J174" s="321">
        <f t="shared" si="14"/>
        <v>194734</v>
      </c>
      <c r="K174" s="438"/>
      <c r="L174" s="438"/>
      <c r="M174" s="441"/>
      <c r="O174" s="69"/>
      <c r="P174" s="12"/>
    </row>
    <row r="175" spans="2:16" ht="15" customHeight="1" x14ac:dyDescent="0.25">
      <c r="B175" s="575">
        <v>2008</v>
      </c>
      <c r="C175" s="30">
        <v>3404</v>
      </c>
      <c r="D175" s="11"/>
      <c r="E175" s="11"/>
      <c r="F175" s="11">
        <v>16264</v>
      </c>
      <c r="G175" s="11">
        <v>112</v>
      </c>
      <c r="H175" s="11">
        <v>23646</v>
      </c>
      <c r="I175" s="137">
        <v>701</v>
      </c>
      <c r="J175" s="321">
        <f t="shared" si="14"/>
        <v>182863</v>
      </c>
      <c r="K175" s="438"/>
      <c r="L175" s="438"/>
      <c r="M175" s="441"/>
      <c r="O175" s="69"/>
      <c r="P175" s="12"/>
    </row>
    <row r="176" spans="2:16" ht="15" customHeight="1" x14ac:dyDescent="0.25">
      <c r="B176" s="576">
        <v>2009</v>
      </c>
      <c r="C176" s="30">
        <v>4592</v>
      </c>
      <c r="D176" s="11"/>
      <c r="E176" s="11"/>
      <c r="F176" s="11">
        <v>16549</v>
      </c>
      <c r="G176" s="11">
        <v>108</v>
      </c>
      <c r="H176" s="11">
        <v>27620</v>
      </c>
      <c r="I176" s="137">
        <v>605</v>
      </c>
      <c r="J176" s="321">
        <f t="shared" si="14"/>
        <v>187477</v>
      </c>
      <c r="K176" s="438"/>
      <c r="L176" s="438"/>
      <c r="M176" s="441"/>
      <c r="O176" s="69"/>
      <c r="P176" s="12"/>
    </row>
    <row r="177" spans="2:16" ht="15" customHeight="1" x14ac:dyDescent="0.25">
      <c r="B177" s="576">
        <v>2010</v>
      </c>
      <c r="C177" s="30">
        <v>2715</v>
      </c>
      <c r="D177" s="11"/>
      <c r="E177" s="11"/>
      <c r="F177" s="11">
        <f>9766+7111</f>
        <v>16877</v>
      </c>
      <c r="G177" s="11">
        <v>109</v>
      </c>
      <c r="H177" s="11">
        <v>28627</v>
      </c>
      <c r="I177" s="137">
        <v>572</v>
      </c>
      <c r="J177" s="321">
        <f t="shared" si="14"/>
        <v>221030</v>
      </c>
      <c r="K177" s="438"/>
      <c r="L177" s="438"/>
      <c r="M177" s="441"/>
      <c r="O177" s="69"/>
      <c r="P177" s="12"/>
    </row>
    <row r="178" spans="2:16" ht="15" customHeight="1" x14ac:dyDescent="0.25">
      <c r="B178" s="576">
        <v>2011</v>
      </c>
      <c r="C178" s="30">
        <v>4654</v>
      </c>
      <c r="D178" s="11"/>
      <c r="E178" s="11"/>
      <c r="F178" s="11">
        <f>12777+4330</f>
        <v>17107</v>
      </c>
      <c r="G178" s="11">
        <v>105</v>
      </c>
      <c r="H178" s="11">
        <v>33049</v>
      </c>
      <c r="I178" s="137">
        <v>297</v>
      </c>
      <c r="J178" s="321">
        <f t="shared" si="14"/>
        <v>230063</v>
      </c>
      <c r="K178" s="438"/>
      <c r="L178" s="438"/>
      <c r="M178" s="441"/>
      <c r="O178" s="69"/>
      <c r="P178" s="12"/>
    </row>
    <row r="179" spans="2:16" ht="15" customHeight="1" x14ac:dyDescent="0.25">
      <c r="B179" s="576">
        <v>2012</v>
      </c>
      <c r="C179" s="30">
        <v>5598</v>
      </c>
      <c r="D179" s="11"/>
      <c r="E179" s="11"/>
      <c r="F179" s="11">
        <f>13169+5473</f>
        <v>18642</v>
      </c>
      <c r="G179" s="11">
        <v>127</v>
      </c>
      <c r="H179" s="11">
        <v>39744</v>
      </c>
      <c r="I179" s="137">
        <v>318</v>
      </c>
      <c r="J179" s="321">
        <f t="shared" si="14"/>
        <v>244078</v>
      </c>
      <c r="K179" s="438"/>
      <c r="L179" s="438"/>
      <c r="M179" s="441"/>
      <c r="O179" s="69"/>
      <c r="P179" s="12"/>
    </row>
    <row r="180" spans="2:16" ht="15" customHeight="1" x14ac:dyDescent="0.25">
      <c r="B180" s="576">
        <v>2013</v>
      </c>
      <c r="C180" s="30">
        <v>3954</v>
      </c>
      <c r="D180" s="11"/>
      <c r="E180" s="11"/>
      <c r="F180" s="11">
        <f>12940+5958</f>
        <v>18898</v>
      </c>
      <c r="G180" s="11">
        <v>123</v>
      </c>
      <c r="H180" s="11">
        <v>43044</v>
      </c>
      <c r="I180" s="137">
        <v>296</v>
      </c>
      <c r="J180" s="321">
        <f t="shared" si="14"/>
        <v>244342</v>
      </c>
      <c r="K180" s="438"/>
      <c r="L180" s="438"/>
      <c r="M180" s="441"/>
      <c r="O180" s="69"/>
      <c r="P180" s="12"/>
    </row>
    <row r="181" spans="2:16" ht="15" customHeight="1" x14ac:dyDescent="0.25">
      <c r="B181" s="576">
        <v>2014</v>
      </c>
      <c r="C181" s="30">
        <v>3138</v>
      </c>
      <c r="D181" s="11"/>
      <c r="E181" s="11"/>
      <c r="F181" s="11">
        <f>13863+5879</f>
        <v>19742</v>
      </c>
      <c r="G181" s="11">
        <v>115</v>
      </c>
      <c r="H181" s="11">
        <v>47250</v>
      </c>
      <c r="I181" s="137">
        <v>416</v>
      </c>
      <c r="J181" s="321">
        <f t="shared" si="14"/>
        <v>269887</v>
      </c>
      <c r="K181" s="438"/>
      <c r="L181" s="438"/>
      <c r="M181" s="441"/>
      <c r="O181" s="69"/>
      <c r="P181" s="12"/>
    </row>
    <row r="182" spans="2:16" ht="15" customHeight="1" x14ac:dyDescent="0.25">
      <c r="B182" s="576">
        <v>2015</v>
      </c>
      <c r="C182" s="30">
        <v>1732</v>
      </c>
      <c r="D182" s="11"/>
      <c r="E182" s="11"/>
      <c r="F182" s="11">
        <v>21245</v>
      </c>
      <c r="G182" s="11">
        <v>85</v>
      </c>
      <c r="H182" s="11">
        <v>53702</v>
      </c>
      <c r="I182" s="137">
        <v>424</v>
      </c>
      <c r="J182" s="321">
        <f t="shared" si="14"/>
        <v>262249</v>
      </c>
      <c r="K182" s="438"/>
      <c r="L182" s="438"/>
      <c r="M182" s="441"/>
      <c r="O182" s="69"/>
      <c r="P182" s="12"/>
    </row>
    <row r="183" spans="2:16" ht="15" customHeight="1" x14ac:dyDescent="0.25">
      <c r="B183" s="576">
        <v>2016</v>
      </c>
      <c r="C183" s="30">
        <v>4774</v>
      </c>
      <c r="D183" s="11"/>
      <c r="E183" s="11"/>
      <c r="F183" s="11">
        <v>21848</v>
      </c>
      <c r="G183" s="11">
        <v>234</v>
      </c>
      <c r="H183" s="11">
        <v>58098</v>
      </c>
      <c r="I183" s="137">
        <v>272</v>
      </c>
      <c r="J183" s="321">
        <f t="shared" si="14"/>
        <v>289101</v>
      </c>
      <c r="K183" s="438"/>
      <c r="L183" s="438"/>
      <c r="M183" s="441"/>
      <c r="O183" s="69"/>
      <c r="P183" s="12"/>
    </row>
    <row r="184" spans="2:16" ht="15" customHeight="1" x14ac:dyDescent="0.25">
      <c r="B184" s="576">
        <v>2017</v>
      </c>
      <c r="C184" s="30">
        <v>4437</v>
      </c>
      <c r="D184" s="11"/>
      <c r="E184" s="11"/>
      <c r="F184" s="11">
        <v>23066</v>
      </c>
      <c r="G184" s="11">
        <v>211</v>
      </c>
      <c r="H184" s="11">
        <v>57348</v>
      </c>
      <c r="I184" s="137">
        <v>291</v>
      </c>
      <c r="J184" s="321">
        <f t="shared" si="14"/>
        <v>287039</v>
      </c>
      <c r="K184" s="438"/>
      <c r="L184" s="438"/>
      <c r="M184" s="441"/>
      <c r="O184" s="69"/>
      <c r="P184" s="12"/>
    </row>
    <row r="185" spans="2:16" ht="15" customHeight="1" x14ac:dyDescent="0.25">
      <c r="B185" s="576">
        <v>2018</v>
      </c>
      <c r="C185" s="30">
        <v>3123</v>
      </c>
      <c r="D185" s="11"/>
      <c r="E185" s="11"/>
      <c r="F185" s="11">
        <v>23675</v>
      </c>
      <c r="G185" s="11">
        <v>237</v>
      </c>
      <c r="H185" s="11">
        <v>59975</v>
      </c>
      <c r="I185" s="137">
        <v>361</v>
      </c>
      <c r="J185" s="321">
        <f t="shared" si="14"/>
        <v>277623</v>
      </c>
      <c r="K185" s="438"/>
      <c r="L185" s="438"/>
      <c r="M185" s="441"/>
      <c r="O185" s="69"/>
      <c r="P185" s="12"/>
    </row>
    <row r="186" spans="2:16" ht="15" customHeight="1" x14ac:dyDescent="0.25">
      <c r="B186" s="576">
        <v>2019</v>
      </c>
      <c r="C186" s="30">
        <v>3751</v>
      </c>
      <c r="D186" s="11"/>
      <c r="E186" s="11"/>
      <c r="F186" s="11">
        <v>23905</v>
      </c>
      <c r="G186" s="11">
        <v>266</v>
      </c>
      <c r="H186" s="11">
        <v>62218</v>
      </c>
      <c r="I186" s="137">
        <v>384</v>
      </c>
      <c r="J186" s="321">
        <f t="shared" si="14"/>
        <v>288632</v>
      </c>
      <c r="K186" s="438"/>
      <c r="L186" s="438"/>
      <c r="M186" s="441"/>
      <c r="O186" s="69"/>
      <c r="P186" s="12"/>
    </row>
    <row r="187" spans="2:16" ht="15" customHeight="1" x14ac:dyDescent="0.25">
      <c r="B187" s="576">
        <v>2020</v>
      </c>
      <c r="C187" s="30">
        <v>3390</v>
      </c>
      <c r="D187" s="11"/>
      <c r="E187" s="11"/>
      <c r="F187" s="11">
        <v>25062</v>
      </c>
      <c r="G187" s="11">
        <v>165</v>
      </c>
      <c r="H187" s="11">
        <v>54772</v>
      </c>
      <c r="I187" s="137">
        <v>317</v>
      </c>
      <c r="J187" s="321">
        <f t="shared" si="14"/>
        <v>252324</v>
      </c>
      <c r="K187" s="438"/>
      <c r="L187" s="438"/>
      <c r="M187" s="441"/>
      <c r="O187" s="69"/>
      <c r="P187" s="12"/>
    </row>
    <row r="188" spans="2:16" ht="15" customHeight="1" x14ac:dyDescent="0.25">
      <c r="B188" s="576">
        <v>2021</v>
      </c>
      <c r="C188" s="30">
        <v>2539</v>
      </c>
      <c r="D188" s="11"/>
      <c r="E188" s="11"/>
      <c r="F188" s="11">
        <v>23488</v>
      </c>
      <c r="G188" s="11">
        <v>175</v>
      </c>
      <c r="H188" s="11">
        <v>23877</v>
      </c>
      <c r="I188" s="137">
        <v>368</v>
      </c>
      <c r="J188" s="321">
        <f t="shared" si="14"/>
        <v>202743</v>
      </c>
      <c r="K188" s="438"/>
      <c r="L188" s="438"/>
      <c r="M188" s="441"/>
      <c r="O188" s="69"/>
      <c r="P188" s="12"/>
    </row>
    <row r="189" spans="2:16" ht="15" customHeight="1" x14ac:dyDescent="0.25">
      <c r="B189" s="577"/>
      <c r="C189" s="30"/>
      <c r="D189" s="11"/>
      <c r="E189" s="11"/>
      <c r="F189" s="11"/>
      <c r="G189" s="11"/>
      <c r="H189" s="11"/>
      <c r="I189" s="137"/>
      <c r="J189" s="320"/>
      <c r="O189" s="69"/>
      <c r="P189" s="12"/>
    </row>
    <row r="190" spans="2:16" ht="15" customHeight="1" x14ac:dyDescent="0.25">
      <c r="B190" s="570" t="s">
        <v>116</v>
      </c>
      <c r="C190" s="30"/>
      <c r="D190" s="11"/>
      <c r="E190" s="11"/>
      <c r="F190" s="11"/>
      <c r="G190" s="11"/>
      <c r="H190" s="11"/>
      <c r="I190" s="137"/>
      <c r="J190" s="320"/>
      <c r="O190" s="69"/>
      <c r="P190" s="12"/>
    </row>
    <row r="191" spans="2:16" ht="15" customHeight="1" x14ac:dyDescent="0.25">
      <c r="B191" s="575">
        <v>1999</v>
      </c>
      <c r="C191" s="30">
        <v>3150</v>
      </c>
      <c r="D191" s="11">
        <v>24</v>
      </c>
      <c r="E191" s="11"/>
      <c r="F191" s="11">
        <v>11732</v>
      </c>
      <c r="G191" s="11">
        <v>143</v>
      </c>
      <c r="H191" s="11"/>
      <c r="I191" s="137"/>
      <c r="J191" s="321">
        <f t="shared" ref="J191:J213" si="15">SUM(C61:J61,C191:I191)</f>
        <v>125123</v>
      </c>
      <c r="K191" s="438"/>
      <c r="O191" s="69"/>
      <c r="P191" s="12"/>
    </row>
    <row r="192" spans="2:16" ht="15" customHeight="1" x14ac:dyDescent="0.25">
      <c r="B192" s="575">
        <v>2000</v>
      </c>
      <c r="C192" s="30">
        <v>2051</v>
      </c>
      <c r="D192" s="11">
        <v>25</v>
      </c>
      <c r="E192" s="11"/>
      <c r="F192" s="11">
        <v>11548</v>
      </c>
      <c r="G192" s="11">
        <v>129</v>
      </c>
      <c r="H192" s="11"/>
      <c r="I192" s="137"/>
      <c r="J192" s="321">
        <f t="shared" si="15"/>
        <v>112815</v>
      </c>
      <c r="K192" s="438"/>
      <c r="O192" s="69"/>
      <c r="P192" s="12"/>
    </row>
    <row r="193" spans="2:16" ht="15" customHeight="1" x14ac:dyDescent="0.25">
      <c r="B193" s="575">
        <v>2001</v>
      </c>
      <c r="C193" s="30">
        <v>2338</v>
      </c>
      <c r="D193" s="11">
        <v>15</v>
      </c>
      <c r="E193" s="11"/>
      <c r="F193" s="11">
        <v>12273</v>
      </c>
      <c r="G193" s="11">
        <v>1114</v>
      </c>
      <c r="H193" s="11"/>
      <c r="I193" s="137"/>
      <c r="J193" s="321">
        <f t="shared" si="15"/>
        <v>132376</v>
      </c>
      <c r="K193" s="438"/>
      <c r="O193" s="69"/>
      <c r="P193" s="12"/>
    </row>
    <row r="194" spans="2:16" ht="15" customHeight="1" x14ac:dyDescent="0.25">
      <c r="B194" s="575">
        <v>2002</v>
      </c>
      <c r="C194" s="30">
        <v>1477</v>
      </c>
      <c r="D194" s="11">
        <v>10</v>
      </c>
      <c r="E194" s="11"/>
      <c r="F194" s="11">
        <v>11942</v>
      </c>
      <c r="G194" s="11">
        <v>115</v>
      </c>
      <c r="H194" s="11"/>
      <c r="I194" s="137"/>
      <c r="J194" s="321">
        <f t="shared" si="15"/>
        <v>125638</v>
      </c>
      <c r="K194" s="438"/>
      <c r="O194" s="69"/>
      <c r="P194" s="12"/>
    </row>
    <row r="195" spans="2:16" ht="15" customHeight="1" x14ac:dyDescent="0.25">
      <c r="B195" s="575">
        <v>2003</v>
      </c>
      <c r="C195" s="30">
        <v>1753</v>
      </c>
      <c r="D195" s="11">
        <v>5</v>
      </c>
      <c r="E195" s="11"/>
      <c r="F195" s="11">
        <v>11811</v>
      </c>
      <c r="G195" s="11">
        <v>160</v>
      </c>
      <c r="H195" s="11">
        <v>13649</v>
      </c>
      <c r="I195" s="137"/>
      <c r="J195" s="321">
        <f t="shared" si="15"/>
        <v>160367</v>
      </c>
      <c r="K195" s="438"/>
      <c r="O195" s="69"/>
      <c r="P195" s="12"/>
    </row>
    <row r="196" spans="2:16" ht="15" customHeight="1" x14ac:dyDescent="0.25">
      <c r="B196" s="575">
        <v>2004</v>
      </c>
      <c r="C196" s="30">
        <v>2213</v>
      </c>
      <c r="D196" s="11"/>
      <c r="E196" s="11"/>
      <c r="F196" s="11">
        <v>12875</v>
      </c>
      <c r="G196" s="11">
        <v>90</v>
      </c>
      <c r="H196" s="11">
        <v>12952</v>
      </c>
      <c r="I196" s="137">
        <v>629</v>
      </c>
      <c r="J196" s="321">
        <f t="shared" si="15"/>
        <v>149485</v>
      </c>
      <c r="K196" s="438"/>
      <c r="O196" s="69"/>
      <c r="P196" s="12"/>
    </row>
    <row r="197" spans="2:16" ht="15" customHeight="1" x14ac:dyDescent="0.25">
      <c r="B197" s="575">
        <v>2005</v>
      </c>
      <c r="C197" s="30">
        <v>1620</v>
      </c>
      <c r="D197" s="11"/>
      <c r="E197" s="11"/>
      <c r="F197" s="11">
        <v>13835</v>
      </c>
      <c r="G197" s="11">
        <v>115</v>
      </c>
      <c r="H197" s="11">
        <v>13965</v>
      </c>
      <c r="I197" s="137">
        <v>681</v>
      </c>
      <c r="J197" s="321">
        <f t="shared" si="15"/>
        <v>154619</v>
      </c>
      <c r="K197" s="438"/>
      <c r="O197" s="69"/>
      <c r="P197" s="12"/>
    </row>
    <row r="198" spans="2:16" ht="15" customHeight="1" x14ac:dyDescent="0.25">
      <c r="B198" s="575">
        <v>2006</v>
      </c>
      <c r="C198" s="30">
        <v>2968</v>
      </c>
      <c r="D198" s="11"/>
      <c r="E198" s="11"/>
      <c r="F198" s="11">
        <f>16105-919</f>
        <v>15186</v>
      </c>
      <c r="G198" s="11">
        <v>91</v>
      </c>
      <c r="H198" s="11">
        <v>16423</v>
      </c>
      <c r="I198" s="137">
        <v>946</v>
      </c>
      <c r="J198" s="321">
        <f t="shared" si="15"/>
        <v>157182</v>
      </c>
      <c r="K198" s="438"/>
      <c r="M198" s="441"/>
      <c r="O198" s="69"/>
      <c r="P198" s="12"/>
    </row>
    <row r="199" spans="2:16" ht="15" customHeight="1" x14ac:dyDescent="0.25">
      <c r="B199" s="575">
        <v>2007</v>
      </c>
      <c r="C199" s="30">
        <v>2665</v>
      </c>
      <c r="D199" s="11"/>
      <c r="E199" s="11"/>
      <c r="F199" s="11">
        <v>15958</v>
      </c>
      <c r="G199" s="11">
        <v>112</v>
      </c>
      <c r="H199" s="11">
        <v>19838</v>
      </c>
      <c r="I199" s="137">
        <v>891</v>
      </c>
      <c r="J199" s="321">
        <f t="shared" si="15"/>
        <v>183695</v>
      </c>
      <c r="K199" s="438"/>
      <c r="M199" s="441"/>
      <c r="O199" s="69"/>
      <c r="P199" s="12"/>
    </row>
    <row r="200" spans="2:16" ht="15" customHeight="1" x14ac:dyDescent="0.25">
      <c r="B200" s="575">
        <v>2008</v>
      </c>
      <c r="C200" s="30">
        <v>3592</v>
      </c>
      <c r="D200" s="11"/>
      <c r="E200" s="11"/>
      <c r="F200" s="11">
        <v>16543</v>
      </c>
      <c r="G200" s="11">
        <v>91</v>
      </c>
      <c r="H200" s="11">
        <v>23144</v>
      </c>
      <c r="I200" s="137">
        <v>569</v>
      </c>
      <c r="J200" s="321">
        <f t="shared" si="15"/>
        <v>199001</v>
      </c>
      <c r="K200" s="438"/>
      <c r="M200" s="441"/>
      <c r="O200" s="69"/>
      <c r="P200" s="12"/>
    </row>
    <row r="201" spans="2:16" ht="15" customHeight="1" x14ac:dyDescent="0.25">
      <c r="B201" s="576">
        <v>2009</v>
      </c>
      <c r="C201" s="30">
        <v>3686</v>
      </c>
      <c r="D201" s="11"/>
      <c r="E201" s="11"/>
      <c r="F201" s="11">
        <v>16629</v>
      </c>
      <c r="G201" s="11">
        <v>89</v>
      </c>
      <c r="H201" s="11">
        <v>25901</v>
      </c>
      <c r="I201" s="137">
        <v>537.4</v>
      </c>
      <c r="J201" s="321">
        <f t="shared" si="15"/>
        <v>188993.4</v>
      </c>
      <c r="K201" s="438"/>
      <c r="M201" s="441"/>
      <c r="O201" s="69"/>
      <c r="P201" s="12"/>
    </row>
    <row r="202" spans="2:16" ht="15" customHeight="1" x14ac:dyDescent="0.25">
      <c r="B202" s="576">
        <v>2010</v>
      </c>
      <c r="C202" s="30">
        <v>2672</v>
      </c>
      <c r="D202" s="11"/>
      <c r="E202" s="11"/>
      <c r="F202" s="11">
        <f>10556+4144</f>
        <v>14700</v>
      </c>
      <c r="G202" s="11">
        <v>90</v>
      </c>
      <c r="H202" s="11">
        <v>28025</v>
      </c>
      <c r="I202" s="137">
        <v>618</v>
      </c>
      <c r="J202" s="321">
        <f t="shared" si="15"/>
        <v>212134</v>
      </c>
      <c r="K202" s="438"/>
      <c r="M202" s="441"/>
      <c r="O202" s="69"/>
      <c r="P202" s="12"/>
    </row>
    <row r="203" spans="2:16" ht="15" customHeight="1" x14ac:dyDescent="0.25">
      <c r="B203" s="576">
        <v>2011</v>
      </c>
      <c r="C203" s="30">
        <v>6285</v>
      </c>
      <c r="D203" s="11"/>
      <c r="E203" s="11"/>
      <c r="F203" s="11">
        <f>12792+5426</f>
        <v>18218</v>
      </c>
      <c r="G203" s="11">
        <v>99</v>
      </c>
      <c r="H203" s="11">
        <v>32183</v>
      </c>
      <c r="I203" s="137">
        <v>356</v>
      </c>
      <c r="J203" s="321">
        <f t="shared" si="15"/>
        <v>251638</v>
      </c>
      <c r="K203" s="438"/>
      <c r="M203" s="441"/>
      <c r="O203" s="69"/>
      <c r="P203" s="12"/>
    </row>
    <row r="204" spans="2:16" ht="15" customHeight="1" x14ac:dyDescent="0.25">
      <c r="B204" s="576">
        <v>2012</v>
      </c>
      <c r="C204" s="30">
        <v>5334</v>
      </c>
      <c r="D204" s="11"/>
      <c r="E204" s="11"/>
      <c r="F204" s="11">
        <f>12949+5810</f>
        <v>18759</v>
      </c>
      <c r="G204" s="11">
        <v>108</v>
      </c>
      <c r="H204" s="11">
        <v>38500</v>
      </c>
      <c r="I204" s="137">
        <v>297</v>
      </c>
      <c r="J204" s="321">
        <f t="shared" si="15"/>
        <v>245381</v>
      </c>
      <c r="K204" s="438"/>
      <c r="M204" s="441"/>
      <c r="O204" s="69"/>
      <c r="P204" s="12"/>
    </row>
    <row r="205" spans="2:16" ht="15" customHeight="1" x14ac:dyDescent="0.25">
      <c r="B205" s="576">
        <v>2013</v>
      </c>
      <c r="C205" s="30">
        <v>3523</v>
      </c>
      <c r="D205" s="11"/>
      <c r="E205" s="11"/>
      <c r="F205" s="11">
        <f>13573+6243</f>
        <v>19816</v>
      </c>
      <c r="G205" s="11">
        <v>106</v>
      </c>
      <c r="H205" s="11">
        <v>42178</v>
      </c>
      <c r="I205" s="137">
        <v>301</v>
      </c>
      <c r="J205" s="321">
        <f t="shared" si="15"/>
        <v>259211</v>
      </c>
      <c r="K205" s="438"/>
      <c r="M205" s="441"/>
      <c r="O205" s="69"/>
      <c r="P205" s="12"/>
    </row>
    <row r="206" spans="2:16" ht="15" customHeight="1" x14ac:dyDescent="0.25">
      <c r="B206" s="576">
        <v>2014</v>
      </c>
      <c r="C206" s="30">
        <v>3974</v>
      </c>
      <c r="D206" s="11"/>
      <c r="E206" s="11"/>
      <c r="F206" s="11">
        <f>16026+6912</f>
        <v>22938</v>
      </c>
      <c r="G206" s="11">
        <v>243</v>
      </c>
      <c r="H206" s="11">
        <v>47193</v>
      </c>
      <c r="I206" s="137">
        <v>297</v>
      </c>
      <c r="J206" s="321">
        <f t="shared" si="15"/>
        <v>281174</v>
      </c>
      <c r="K206" s="438"/>
      <c r="M206" s="441"/>
      <c r="O206" s="69"/>
      <c r="P206" s="12"/>
    </row>
    <row r="207" spans="2:16" ht="15" customHeight="1" x14ac:dyDescent="0.25">
      <c r="B207" s="576">
        <v>2015</v>
      </c>
      <c r="C207" s="30">
        <v>3733</v>
      </c>
      <c r="D207" s="11"/>
      <c r="E207" s="11"/>
      <c r="F207" s="11">
        <v>21129</v>
      </c>
      <c r="G207" s="11">
        <v>116</v>
      </c>
      <c r="H207" s="11">
        <v>51188</v>
      </c>
      <c r="I207" s="137">
        <v>399</v>
      </c>
      <c r="J207" s="321">
        <f t="shared" si="15"/>
        <v>269488</v>
      </c>
      <c r="K207" s="438"/>
      <c r="M207" s="441"/>
      <c r="O207" s="69"/>
      <c r="P207" s="12"/>
    </row>
    <row r="208" spans="2:16" ht="15" customHeight="1" x14ac:dyDescent="0.25">
      <c r="B208" s="576">
        <v>2016</v>
      </c>
      <c r="C208" s="30">
        <v>3857</v>
      </c>
      <c r="D208" s="11"/>
      <c r="E208" s="11"/>
      <c r="F208" s="11">
        <v>22175</v>
      </c>
      <c r="G208" s="11">
        <v>222</v>
      </c>
      <c r="H208" s="11">
        <v>55114</v>
      </c>
      <c r="I208" s="137">
        <v>359</v>
      </c>
      <c r="J208" s="321">
        <f t="shared" si="15"/>
        <v>294965</v>
      </c>
      <c r="K208" s="438"/>
      <c r="M208" s="441"/>
      <c r="O208" s="69"/>
      <c r="P208" s="12"/>
    </row>
    <row r="209" spans="2:16" ht="15" customHeight="1" x14ac:dyDescent="0.25">
      <c r="B209" s="576">
        <v>2017</v>
      </c>
      <c r="C209" s="30">
        <v>4827</v>
      </c>
      <c r="D209" s="11"/>
      <c r="E209" s="11"/>
      <c r="F209" s="11">
        <v>22962</v>
      </c>
      <c r="G209" s="11">
        <v>200</v>
      </c>
      <c r="H209" s="11">
        <v>55737</v>
      </c>
      <c r="I209" s="137">
        <v>392</v>
      </c>
      <c r="J209" s="321">
        <f t="shared" si="15"/>
        <v>296906</v>
      </c>
      <c r="K209" s="438"/>
      <c r="M209" s="441"/>
      <c r="O209" s="69"/>
      <c r="P209" s="12"/>
    </row>
    <row r="210" spans="2:16" ht="15" customHeight="1" x14ac:dyDescent="0.25">
      <c r="B210" s="576">
        <v>2018</v>
      </c>
      <c r="C210" s="30">
        <v>2673</v>
      </c>
      <c r="D210" s="11"/>
      <c r="E210" s="11"/>
      <c r="F210" s="11">
        <v>23888</v>
      </c>
      <c r="G210" s="11">
        <v>233</v>
      </c>
      <c r="H210" s="11">
        <v>58841</v>
      </c>
      <c r="I210" s="137">
        <v>349</v>
      </c>
      <c r="J210" s="321">
        <f t="shared" si="15"/>
        <v>285382</v>
      </c>
      <c r="K210" s="438"/>
      <c r="M210" s="441"/>
      <c r="O210" s="69"/>
      <c r="P210" s="12"/>
    </row>
    <row r="211" spans="2:16" ht="15" customHeight="1" x14ac:dyDescent="0.25">
      <c r="B211" s="576">
        <v>2019</v>
      </c>
      <c r="C211" s="30">
        <v>3624</v>
      </c>
      <c r="D211" s="11"/>
      <c r="E211" s="11"/>
      <c r="F211" s="11">
        <v>24214</v>
      </c>
      <c r="G211" s="11">
        <v>235</v>
      </c>
      <c r="H211" s="11">
        <v>59139</v>
      </c>
      <c r="I211" s="137">
        <v>358</v>
      </c>
      <c r="J211" s="321">
        <f t="shared" si="15"/>
        <v>287957</v>
      </c>
      <c r="K211" s="438"/>
      <c r="M211" s="441"/>
      <c r="O211" s="69"/>
      <c r="P211" s="12"/>
    </row>
    <row r="212" spans="2:16" ht="15" customHeight="1" x14ac:dyDescent="0.25">
      <c r="B212" s="576">
        <v>2020</v>
      </c>
      <c r="C212" s="30">
        <v>283</v>
      </c>
      <c r="D212" s="11"/>
      <c r="E212" s="11"/>
      <c r="F212" s="11">
        <v>20975</v>
      </c>
      <c r="G212" s="11">
        <v>72</v>
      </c>
      <c r="H212" s="11">
        <v>4385</v>
      </c>
      <c r="I212" s="137">
        <v>183</v>
      </c>
      <c r="J212" s="321">
        <f t="shared" si="15"/>
        <v>121809</v>
      </c>
      <c r="K212" s="438"/>
      <c r="M212" s="441"/>
      <c r="O212" s="69"/>
      <c r="P212" s="12"/>
    </row>
    <row r="213" spans="2:16" ht="15" customHeight="1" x14ac:dyDescent="0.25">
      <c r="B213" s="576">
        <v>2021</v>
      </c>
      <c r="C213" s="30">
        <v>2284</v>
      </c>
      <c r="D213" s="11"/>
      <c r="E213" s="11"/>
      <c r="F213" s="11">
        <v>24301</v>
      </c>
      <c r="G213" s="11">
        <v>195</v>
      </c>
      <c r="H213" s="11">
        <v>26909</v>
      </c>
      <c r="I213" s="137">
        <v>388</v>
      </c>
      <c r="J213" s="321">
        <f t="shared" si="15"/>
        <v>224452</v>
      </c>
      <c r="K213" s="438"/>
      <c r="M213" s="441"/>
      <c r="O213" s="69"/>
      <c r="P213" s="12"/>
    </row>
    <row r="214" spans="2:16" ht="15" customHeight="1" x14ac:dyDescent="0.25">
      <c r="B214" s="577"/>
      <c r="C214" s="30"/>
      <c r="D214" s="11"/>
      <c r="E214" s="11"/>
      <c r="F214" s="11"/>
      <c r="G214" s="11"/>
      <c r="H214" s="11"/>
      <c r="I214" s="137"/>
      <c r="J214" s="320"/>
      <c r="O214" s="69"/>
      <c r="P214" s="12"/>
    </row>
    <row r="215" spans="2:16" ht="15" customHeight="1" x14ac:dyDescent="0.25">
      <c r="B215" s="570" t="s">
        <v>117</v>
      </c>
      <c r="C215" s="30"/>
      <c r="D215" s="11"/>
      <c r="E215" s="11"/>
      <c r="F215" s="11"/>
      <c r="G215" s="11"/>
      <c r="H215" s="11"/>
      <c r="I215" s="137"/>
      <c r="J215" s="320"/>
      <c r="O215" s="69"/>
      <c r="P215" s="12"/>
    </row>
    <row r="216" spans="2:16" ht="15" customHeight="1" x14ac:dyDescent="0.25">
      <c r="B216" s="575">
        <v>1999</v>
      </c>
      <c r="C216" s="30">
        <v>2540</v>
      </c>
      <c r="D216" s="11">
        <v>19</v>
      </c>
      <c r="E216" s="11"/>
      <c r="F216" s="11">
        <v>12420</v>
      </c>
      <c r="G216" s="11">
        <v>175</v>
      </c>
      <c r="H216" s="11"/>
      <c r="I216" s="137"/>
      <c r="J216" s="321">
        <f t="shared" ref="J216:J238" si="16">SUM(C86:J86,C216:I216)</f>
        <v>127899</v>
      </c>
      <c r="K216" s="438"/>
      <c r="O216" s="69"/>
      <c r="P216" s="12"/>
    </row>
    <row r="217" spans="2:16" ht="15" customHeight="1" x14ac:dyDescent="0.25">
      <c r="B217" s="575">
        <v>2000</v>
      </c>
      <c r="C217" s="30">
        <v>2582</v>
      </c>
      <c r="D217" s="11">
        <v>20</v>
      </c>
      <c r="E217" s="11"/>
      <c r="F217" s="11">
        <v>12476</v>
      </c>
      <c r="G217" s="11">
        <v>160</v>
      </c>
      <c r="H217" s="11"/>
      <c r="I217" s="137"/>
      <c r="J217" s="321">
        <f t="shared" si="16"/>
        <v>104525</v>
      </c>
      <c r="K217" s="438"/>
      <c r="O217" s="69"/>
      <c r="P217" s="12"/>
    </row>
    <row r="218" spans="2:16" ht="15" customHeight="1" x14ac:dyDescent="0.25">
      <c r="B218" s="575">
        <v>2001</v>
      </c>
      <c r="C218" s="30">
        <v>1468</v>
      </c>
      <c r="D218" s="11">
        <v>15</v>
      </c>
      <c r="E218" s="11"/>
      <c r="F218" s="11">
        <v>12160</v>
      </c>
      <c r="G218" s="11">
        <v>165</v>
      </c>
      <c r="H218" s="11"/>
      <c r="I218" s="137"/>
      <c r="J218" s="321">
        <f t="shared" si="16"/>
        <v>126454</v>
      </c>
      <c r="K218" s="438"/>
      <c r="O218" s="69"/>
      <c r="P218" s="12"/>
    </row>
    <row r="219" spans="2:16" ht="15" customHeight="1" x14ac:dyDescent="0.25">
      <c r="B219" s="575">
        <v>2002</v>
      </c>
      <c r="C219" s="30">
        <v>1549</v>
      </c>
      <c r="D219" s="11">
        <v>15</v>
      </c>
      <c r="E219" s="11"/>
      <c r="F219" s="11">
        <v>12543</v>
      </c>
      <c r="G219" s="11">
        <v>139</v>
      </c>
      <c r="H219" s="11"/>
      <c r="I219" s="137"/>
      <c r="J219" s="321">
        <f t="shared" si="16"/>
        <v>123901</v>
      </c>
      <c r="K219" s="438"/>
      <c r="O219" s="69"/>
      <c r="P219" s="12"/>
    </row>
    <row r="220" spans="2:16" ht="15" customHeight="1" x14ac:dyDescent="0.25">
      <c r="B220" s="575">
        <v>2003</v>
      </c>
      <c r="C220" s="30">
        <v>1617</v>
      </c>
      <c r="D220" s="11">
        <v>10</v>
      </c>
      <c r="E220" s="11"/>
      <c r="F220" s="11">
        <v>13207</v>
      </c>
      <c r="G220" s="11">
        <v>146</v>
      </c>
      <c r="H220" s="11">
        <v>14540</v>
      </c>
      <c r="I220" s="137"/>
      <c r="J220" s="321">
        <f t="shared" si="16"/>
        <v>155398</v>
      </c>
      <c r="K220" s="438"/>
      <c r="O220" s="69"/>
      <c r="P220" s="12"/>
    </row>
    <row r="221" spans="2:16" ht="15" customHeight="1" x14ac:dyDescent="0.25">
      <c r="B221" s="575">
        <v>2004</v>
      </c>
      <c r="C221" s="30">
        <v>1283</v>
      </c>
      <c r="D221" s="11"/>
      <c r="E221" s="11"/>
      <c r="F221" s="11">
        <v>13623</v>
      </c>
      <c r="G221" s="11">
        <v>88</v>
      </c>
      <c r="H221" s="11">
        <v>14247</v>
      </c>
      <c r="I221" s="137">
        <v>766</v>
      </c>
      <c r="J221" s="321">
        <f t="shared" si="16"/>
        <v>147693</v>
      </c>
      <c r="K221" s="438"/>
      <c r="O221" s="69"/>
      <c r="P221" s="12"/>
    </row>
    <row r="222" spans="2:16" ht="15" customHeight="1" x14ac:dyDescent="0.25">
      <c r="B222" s="575">
        <v>2005</v>
      </c>
      <c r="C222" s="30">
        <v>1849</v>
      </c>
      <c r="D222" s="11"/>
      <c r="E222" s="11"/>
      <c r="F222" s="11">
        <v>14353</v>
      </c>
      <c r="G222" s="11">
        <v>112</v>
      </c>
      <c r="H222" s="11">
        <v>15824</v>
      </c>
      <c r="I222" s="137">
        <v>684</v>
      </c>
      <c r="J222" s="321">
        <f t="shared" si="16"/>
        <v>150236</v>
      </c>
      <c r="K222" s="438"/>
      <c r="O222" s="69"/>
      <c r="P222" s="12"/>
    </row>
    <row r="223" spans="2:16" ht="15" customHeight="1" x14ac:dyDescent="0.25">
      <c r="B223" s="575">
        <v>2006</v>
      </c>
      <c r="C223" s="30">
        <v>4149</v>
      </c>
      <c r="D223" s="11"/>
      <c r="E223" s="11"/>
      <c r="F223" s="11">
        <f>18204-917</f>
        <v>17287</v>
      </c>
      <c r="G223" s="11">
        <v>119</v>
      </c>
      <c r="H223" s="11">
        <v>16552</v>
      </c>
      <c r="I223" s="137">
        <v>987</v>
      </c>
      <c r="J223" s="321">
        <f t="shared" si="16"/>
        <v>157442</v>
      </c>
      <c r="K223" s="438"/>
      <c r="M223" s="441"/>
      <c r="O223" s="69"/>
      <c r="P223" s="12"/>
    </row>
    <row r="224" spans="2:16" ht="15" customHeight="1" x14ac:dyDescent="0.25">
      <c r="B224" s="575">
        <v>2007</v>
      </c>
      <c r="C224" s="30">
        <v>3464</v>
      </c>
      <c r="D224" s="11"/>
      <c r="E224" s="11"/>
      <c r="F224" s="11">
        <v>16950</v>
      </c>
      <c r="G224" s="11">
        <v>135</v>
      </c>
      <c r="H224" s="11">
        <v>22365</v>
      </c>
      <c r="I224" s="137">
        <v>1011</v>
      </c>
      <c r="J224" s="321">
        <f t="shared" si="16"/>
        <v>183017</v>
      </c>
      <c r="K224" s="438"/>
      <c r="M224" s="441"/>
      <c r="O224" s="69"/>
      <c r="P224" s="12"/>
    </row>
    <row r="225" spans="2:16" ht="15" customHeight="1" x14ac:dyDescent="0.25">
      <c r="B225" s="575">
        <v>2008</v>
      </c>
      <c r="C225" s="30">
        <v>3179</v>
      </c>
      <c r="D225" s="11"/>
      <c r="E225" s="11"/>
      <c r="F225" s="11">
        <v>17031</v>
      </c>
      <c r="G225" s="11">
        <v>108</v>
      </c>
      <c r="H225" s="11">
        <v>24930</v>
      </c>
      <c r="I225" s="137">
        <v>510</v>
      </c>
      <c r="J225" s="321">
        <f t="shared" si="16"/>
        <v>181610</v>
      </c>
      <c r="K225" s="438"/>
      <c r="M225" s="441"/>
      <c r="O225" s="69"/>
      <c r="P225" s="12"/>
    </row>
    <row r="226" spans="2:16" ht="15" customHeight="1" x14ac:dyDescent="0.25">
      <c r="B226" s="576">
        <v>2009</v>
      </c>
      <c r="C226" s="30">
        <v>2840</v>
      </c>
      <c r="D226" s="11"/>
      <c r="E226" s="11"/>
      <c r="F226" s="11">
        <v>16905</v>
      </c>
      <c r="G226" s="11">
        <v>100</v>
      </c>
      <c r="H226" s="11">
        <v>27167</v>
      </c>
      <c r="I226" s="137">
        <v>590</v>
      </c>
      <c r="J226" s="321">
        <f t="shared" si="16"/>
        <v>187442</v>
      </c>
      <c r="K226" s="438"/>
      <c r="M226" s="441"/>
      <c r="O226" s="69"/>
      <c r="P226" s="12"/>
    </row>
    <row r="227" spans="2:16" ht="15" customHeight="1" x14ac:dyDescent="0.25">
      <c r="B227" s="576">
        <v>2010</v>
      </c>
      <c r="C227" s="30">
        <v>3126</v>
      </c>
      <c r="D227" s="11"/>
      <c r="E227" s="11"/>
      <c r="F227" s="11">
        <f>12935+5452</f>
        <v>18387</v>
      </c>
      <c r="G227" s="11">
        <v>111</v>
      </c>
      <c r="H227" s="11">
        <v>30915</v>
      </c>
      <c r="I227" s="137">
        <v>535</v>
      </c>
      <c r="J227" s="321">
        <f t="shared" si="16"/>
        <v>210783</v>
      </c>
      <c r="K227" s="438"/>
      <c r="M227" s="441"/>
      <c r="O227" s="69"/>
      <c r="P227" s="12"/>
    </row>
    <row r="228" spans="2:16" ht="15" customHeight="1" x14ac:dyDescent="0.25">
      <c r="B228" s="576">
        <v>2011</v>
      </c>
      <c r="C228" s="30">
        <v>5527</v>
      </c>
      <c r="D228" s="11"/>
      <c r="E228" s="11"/>
      <c r="F228" s="11">
        <f>13200+5497</f>
        <v>18697</v>
      </c>
      <c r="G228" s="11">
        <v>106</v>
      </c>
      <c r="H228" s="11">
        <v>35171</v>
      </c>
      <c r="I228" s="137">
        <v>355</v>
      </c>
      <c r="J228" s="321">
        <f t="shared" si="16"/>
        <v>245255</v>
      </c>
      <c r="K228" s="438"/>
      <c r="M228" s="441"/>
      <c r="O228" s="69"/>
      <c r="P228" s="12"/>
    </row>
    <row r="229" spans="2:16" ht="15" customHeight="1" x14ac:dyDescent="0.25">
      <c r="B229" s="576">
        <v>2012</v>
      </c>
      <c r="C229" s="30">
        <v>4726</v>
      </c>
      <c r="D229" s="11"/>
      <c r="E229" s="11"/>
      <c r="F229" s="11">
        <f>13170+6009</f>
        <v>19179</v>
      </c>
      <c r="G229" s="11">
        <v>114</v>
      </c>
      <c r="H229" s="11">
        <v>41290</v>
      </c>
      <c r="I229" s="137">
        <v>306</v>
      </c>
      <c r="J229" s="321">
        <f t="shared" si="16"/>
        <v>242424</v>
      </c>
      <c r="K229" s="438"/>
      <c r="M229" s="441"/>
      <c r="O229" s="69"/>
      <c r="P229" s="12"/>
    </row>
    <row r="230" spans="2:16" ht="15" customHeight="1" x14ac:dyDescent="0.25">
      <c r="B230" s="576">
        <v>2013</v>
      </c>
      <c r="C230" s="30">
        <v>2806</v>
      </c>
      <c r="D230" s="11"/>
      <c r="E230" s="11"/>
      <c r="F230" s="11">
        <f>13861+6424</f>
        <v>20285</v>
      </c>
      <c r="G230" s="11">
        <v>134</v>
      </c>
      <c r="H230" s="11">
        <v>43865</v>
      </c>
      <c r="I230" s="137">
        <v>290</v>
      </c>
      <c r="J230" s="321">
        <f t="shared" si="16"/>
        <v>241784</v>
      </c>
      <c r="K230" s="438"/>
      <c r="M230" s="441"/>
      <c r="O230" s="69"/>
      <c r="P230" s="12"/>
    </row>
    <row r="231" spans="2:16" ht="15" customHeight="1" x14ac:dyDescent="0.25">
      <c r="B231" s="576">
        <v>2014</v>
      </c>
      <c r="C231" s="30">
        <v>3654</v>
      </c>
      <c r="D231" s="11"/>
      <c r="E231" s="11"/>
      <c r="F231" s="11">
        <f>14508+6258</f>
        <v>20766</v>
      </c>
      <c r="G231" s="11">
        <v>131</v>
      </c>
      <c r="H231" s="11">
        <v>50887</v>
      </c>
      <c r="I231" s="137">
        <v>406</v>
      </c>
      <c r="J231" s="321">
        <f t="shared" si="16"/>
        <v>252564</v>
      </c>
      <c r="K231" s="438"/>
      <c r="M231" s="441"/>
      <c r="O231" s="69"/>
      <c r="P231" s="12"/>
    </row>
    <row r="232" spans="2:16" ht="15" customHeight="1" x14ac:dyDescent="0.25">
      <c r="B232" s="576">
        <v>2015</v>
      </c>
      <c r="C232" s="30">
        <v>4034</v>
      </c>
      <c r="D232" s="11"/>
      <c r="E232" s="11"/>
      <c r="F232" s="11">
        <v>21786</v>
      </c>
      <c r="G232" s="11">
        <v>273</v>
      </c>
      <c r="H232" s="11">
        <v>52984</v>
      </c>
      <c r="I232" s="137">
        <v>373</v>
      </c>
      <c r="J232" s="321">
        <f t="shared" si="16"/>
        <v>265162</v>
      </c>
      <c r="K232" s="438"/>
      <c r="M232" s="441"/>
      <c r="O232" s="69"/>
      <c r="P232" s="12"/>
    </row>
    <row r="233" spans="2:16" ht="15" customHeight="1" x14ac:dyDescent="0.25">
      <c r="B233" s="576">
        <v>2016</v>
      </c>
      <c r="C233" s="30">
        <v>3997</v>
      </c>
      <c r="D233" s="11"/>
      <c r="E233" s="11"/>
      <c r="F233" s="11">
        <v>23467</v>
      </c>
      <c r="G233" s="11">
        <v>194</v>
      </c>
      <c r="H233" s="11">
        <v>55807</v>
      </c>
      <c r="I233" s="137">
        <v>351</v>
      </c>
      <c r="J233" s="321">
        <f t="shared" si="16"/>
        <v>282703</v>
      </c>
      <c r="K233" s="438"/>
      <c r="M233" s="441"/>
      <c r="O233" s="69"/>
      <c r="P233" s="12"/>
    </row>
    <row r="234" spans="2:16" ht="15" customHeight="1" x14ac:dyDescent="0.25">
      <c r="B234" s="576">
        <v>2017</v>
      </c>
      <c r="C234" s="30">
        <v>3184</v>
      </c>
      <c r="D234" s="11"/>
      <c r="E234" s="11"/>
      <c r="F234" s="11">
        <v>23787</v>
      </c>
      <c r="G234" s="11">
        <v>217</v>
      </c>
      <c r="H234" s="11">
        <v>57962</v>
      </c>
      <c r="I234" s="137">
        <v>368</v>
      </c>
      <c r="J234" s="321">
        <f t="shared" si="16"/>
        <v>298288</v>
      </c>
      <c r="K234" s="438"/>
      <c r="M234" s="441"/>
      <c r="O234" s="69"/>
      <c r="P234" s="12"/>
    </row>
    <row r="235" spans="2:16" ht="15" customHeight="1" x14ac:dyDescent="0.25">
      <c r="B235" s="576">
        <v>2018</v>
      </c>
      <c r="C235" s="30">
        <v>3033</v>
      </c>
      <c r="D235" s="11"/>
      <c r="E235" s="11"/>
      <c r="F235" s="11">
        <v>24200</v>
      </c>
      <c r="G235" s="11">
        <v>241</v>
      </c>
      <c r="H235" s="11">
        <v>60073</v>
      </c>
      <c r="I235" s="137">
        <v>386</v>
      </c>
      <c r="J235" s="321">
        <f t="shared" si="16"/>
        <v>271061</v>
      </c>
      <c r="K235" s="438"/>
      <c r="M235" s="441"/>
      <c r="O235" s="69"/>
      <c r="P235" s="12"/>
    </row>
    <row r="236" spans="2:16" ht="15" customHeight="1" x14ac:dyDescent="0.25">
      <c r="B236" s="576">
        <v>2019</v>
      </c>
      <c r="C236" s="30">
        <v>3376</v>
      </c>
      <c r="D236" s="11"/>
      <c r="E236" s="11"/>
      <c r="F236" s="11">
        <v>24550</v>
      </c>
      <c r="G236" s="11">
        <v>228</v>
      </c>
      <c r="H236" s="11">
        <v>60340</v>
      </c>
      <c r="I236" s="137">
        <v>377</v>
      </c>
      <c r="J236" s="321">
        <f t="shared" si="16"/>
        <v>282212</v>
      </c>
      <c r="K236" s="438"/>
      <c r="M236" s="441"/>
      <c r="O236" s="69"/>
      <c r="P236" s="12"/>
    </row>
    <row r="237" spans="2:16" ht="15" customHeight="1" x14ac:dyDescent="0.25">
      <c r="B237" s="576">
        <v>2020</v>
      </c>
      <c r="C237" s="30">
        <v>1382</v>
      </c>
      <c r="D237" s="11"/>
      <c r="E237" s="11"/>
      <c r="F237" s="11">
        <v>23006</v>
      </c>
      <c r="G237" s="11">
        <v>128</v>
      </c>
      <c r="H237" s="11">
        <v>6467</v>
      </c>
      <c r="I237" s="137">
        <v>273</v>
      </c>
      <c r="J237" s="321">
        <f t="shared" si="16"/>
        <v>152611</v>
      </c>
      <c r="K237" s="438"/>
      <c r="M237" s="441"/>
      <c r="O237" s="69"/>
      <c r="P237" s="12"/>
    </row>
    <row r="238" spans="2:16" ht="15" customHeight="1" x14ac:dyDescent="0.25">
      <c r="B238" s="576">
        <v>2021</v>
      </c>
      <c r="C238" s="30">
        <v>1816</v>
      </c>
      <c r="D238" s="11"/>
      <c r="E238" s="11"/>
      <c r="F238" s="11">
        <v>25235</v>
      </c>
      <c r="G238" s="11">
        <v>214</v>
      </c>
      <c r="H238" s="11">
        <v>37678</v>
      </c>
      <c r="I238" s="137">
        <v>301</v>
      </c>
      <c r="J238" s="321">
        <f t="shared" si="16"/>
        <v>237077</v>
      </c>
      <c r="K238" s="438"/>
      <c r="M238" s="441"/>
      <c r="O238" s="69"/>
      <c r="P238" s="12"/>
    </row>
    <row r="239" spans="2:16" ht="15" customHeight="1" x14ac:dyDescent="0.25">
      <c r="B239" s="577"/>
      <c r="C239" s="30"/>
      <c r="D239" s="11"/>
      <c r="E239" s="11"/>
      <c r="F239" s="11"/>
      <c r="G239" s="11"/>
      <c r="H239" s="11"/>
      <c r="I239" s="137"/>
      <c r="J239" s="320"/>
      <c r="O239" s="69"/>
      <c r="P239" s="12"/>
    </row>
    <row r="240" spans="2:16" ht="15" customHeight="1" x14ac:dyDescent="0.25">
      <c r="B240" s="570" t="s">
        <v>118</v>
      </c>
      <c r="C240" s="30"/>
      <c r="D240" s="11"/>
      <c r="E240" s="11"/>
      <c r="F240" s="11"/>
      <c r="G240" s="11"/>
      <c r="H240" s="11"/>
      <c r="I240" s="137"/>
      <c r="J240" s="320"/>
      <c r="O240" s="69"/>
      <c r="P240" s="12"/>
    </row>
    <row r="241" spans="2:16" ht="15" customHeight="1" x14ac:dyDescent="0.25">
      <c r="B241" s="575">
        <v>1999</v>
      </c>
      <c r="C241" s="30">
        <v>1990</v>
      </c>
      <c r="D241" s="11">
        <v>20</v>
      </c>
      <c r="E241" s="11"/>
      <c r="F241" s="11">
        <v>12347</v>
      </c>
      <c r="G241" s="11">
        <v>145</v>
      </c>
      <c r="H241" s="11"/>
      <c r="I241" s="137"/>
      <c r="J241" s="321">
        <f t="shared" ref="J241:J260" si="17">SUM(C111:J111,C241:I241)</f>
        <v>101594</v>
      </c>
      <c r="K241" s="438"/>
      <c r="O241" s="69"/>
      <c r="P241" s="12"/>
    </row>
    <row r="242" spans="2:16" ht="15" customHeight="1" x14ac:dyDescent="0.25">
      <c r="B242" s="576">
        <v>2000</v>
      </c>
      <c r="C242" s="83">
        <v>1753</v>
      </c>
      <c r="D242" s="75">
        <v>19</v>
      </c>
      <c r="E242" s="75"/>
      <c r="F242" s="75">
        <v>12251</v>
      </c>
      <c r="G242" s="75">
        <v>154</v>
      </c>
      <c r="H242" s="75"/>
      <c r="I242" s="143"/>
      <c r="J242" s="321">
        <f t="shared" si="17"/>
        <v>103516</v>
      </c>
      <c r="K242" s="438"/>
      <c r="O242" s="69"/>
      <c r="P242" s="12"/>
    </row>
    <row r="243" spans="2:16" ht="15" customHeight="1" x14ac:dyDescent="0.25">
      <c r="B243" s="576">
        <v>2001</v>
      </c>
      <c r="C243" s="83">
        <v>1245</v>
      </c>
      <c r="D243" s="75">
        <v>16</v>
      </c>
      <c r="E243" s="75"/>
      <c r="F243" s="75">
        <v>12407</v>
      </c>
      <c r="G243" s="75">
        <v>125</v>
      </c>
      <c r="H243" s="75"/>
      <c r="I243" s="143"/>
      <c r="J243" s="321">
        <f t="shared" si="17"/>
        <v>120409</v>
      </c>
      <c r="K243" s="438"/>
      <c r="O243" s="69"/>
      <c r="P243" s="12"/>
    </row>
    <row r="244" spans="2:16" ht="15" customHeight="1" x14ac:dyDescent="0.25">
      <c r="B244" s="575">
        <v>2002</v>
      </c>
      <c r="C244" s="30">
        <v>1249</v>
      </c>
      <c r="D244" s="11">
        <v>59</v>
      </c>
      <c r="E244" s="11"/>
      <c r="F244" s="11">
        <v>12844</v>
      </c>
      <c r="G244" s="11">
        <v>148</v>
      </c>
      <c r="H244" s="11"/>
      <c r="I244" s="137"/>
      <c r="J244" s="321">
        <f t="shared" si="17"/>
        <v>120456</v>
      </c>
      <c r="K244" s="438"/>
      <c r="O244" s="69"/>
      <c r="P244" s="12"/>
    </row>
    <row r="245" spans="2:16" ht="15" customHeight="1" x14ac:dyDescent="0.25">
      <c r="B245" s="578">
        <v>2003</v>
      </c>
      <c r="C245" s="318">
        <v>1307</v>
      </c>
      <c r="D245" s="300">
        <v>0</v>
      </c>
      <c r="E245" s="300"/>
      <c r="F245" s="300">
        <v>11507</v>
      </c>
      <c r="G245" s="300">
        <v>129</v>
      </c>
      <c r="H245" s="300">
        <v>14268</v>
      </c>
      <c r="I245" s="137"/>
      <c r="J245" s="321">
        <f t="shared" si="17"/>
        <v>152118</v>
      </c>
      <c r="K245" s="438"/>
      <c r="O245" s="69"/>
      <c r="P245" s="12"/>
    </row>
    <row r="246" spans="2:16" ht="15" customHeight="1" x14ac:dyDescent="0.25">
      <c r="B246" s="576">
        <v>2004</v>
      </c>
      <c r="C246" s="83">
        <v>1028</v>
      </c>
      <c r="D246" s="75"/>
      <c r="E246" s="75"/>
      <c r="F246" s="75">
        <v>12987</v>
      </c>
      <c r="G246" s="75">
        <v>100</v>
      </c>
      <c r="H246" s="75">
        <v>14945</v>
      </c>
      <c r="I246" s="137">
        <v>721</v>
      </c>
      <c r="J246" s="321">
        <f t="shared" si="17"/>
        <v>138493</v>
      </c>
      <c r="K246" s="438"/>
      <c r="O246" s="69"/>
      <c r="P246" s="12"/>
    </row>
    <row r="247" spans="2:16" ht="15" customHeight="1" x14ac:dyDescent="0.25">
      <c r="B247" s="575">
        <v>2005</v>
      </c>
      <c r="C247" s="30">
        <v>1489</v>
      </c>
      <c r="D247" s="11"/>
      <c r="E247" s="11"/>
      <c r="F247" s="11">
        <v>14714</v>
      </c>
      <c r="G247" s="11">
        <v>101</v>
      </c>
      <c r="H247" s="11">
        <v>16367</v>
      </c>
      <c r="I247" s="10">
        <v>613</v>
      </c>
      <c r="J247" s="321">
        <f t="shared" si="17"/>
        <v>150215</v>
      </c>
      <c r="K247" s="438"/>
      <c r="O247" s="69"/>
      <c r="P247" s="12"/>
    </row>
    <row r="248" spans="2:16" ht="15" customHeight="1" x14ac:dyDescent="0.25">
      <c r="B248" s="580">
        <v>2006</v>
      </c>
      <c r="C248" s="22">
        <v>3132</v>
      </c>
      <c r="D248" s="11"/>
      <c r="E248" s="11"/>
      <c r="F248" s="11">
        <f>16440-638</f>
        <v>15802</v>
      </c>
      <c r="G248" s="11">
        <v>108</v>
      </c>
      <c r="H248" s="11">
        <v>20204</v>
      </c>
      <c r="I248" s="10">
        <v>857</v>
      </c>
      <c r="J248" s="321">
        <f t="shared" si="17"/>
        <v>164553</v>
      </c>
      <c r="K248" s="438"/>
      <c r="O248" s="69"/>
      <c r="P248" s="12"/>
    </row>
    <row r="249" spans="2:16" ht="15" customHeight="1" x14ac:dyDescent="0.25">
      <c r="B249" s="581">
        <v>2007</v>
      </c>
      <c r="C249" s="448">
        <v>2846</v>
      </c>
      <c r="D249" s="300"/>
      <c r="E249" s="300"/>
      <c r="F249" s="300">
        <v>16660</v>
      </c>
      <c r="G249" s="300">
        <v>103</v>
      </c>
      <c r="H249" s="300">
        <v>22390</v>
      </c>
      <c r="I249" s="301">
        <v>987</v>
      </c>
      <c r="J249" s="455">
        <f t="shared" si="17"/>
        <v>169963</v>
      </c>
      <c r="K249" s="438"/>
      <c r="O249" s="69"/>
      <c r="P249" s="12"/>
    </row>
    <row r="250" spans="2:16" ht="15" customHeight="1" x14ac:dyDescent="0.25">
      <c r="B250" s="582">
        <v>2008</v>
      </c>
      <c r="C250" s="74">
        <v>3068</v>
      </c>
      <c r="D250" s="75"/>
      <c r="E250" s="75"/>
      <c r="F250" s="75">
        <v>17256</v>
      </c>
      <c r="G250" s="75">
        <v>111</v>
      </c>
      <c r="H250" s="75">
        <v>27224</v>
      </c>
      <c r="I250" s="92">
        <v>485</v>
      </c>
      <c r="J250" s="462">
        <f t="shared" si="17"/>
        <v>177247</v>
      </c>
      <c r="K250" s="438"/>
      <c r="M250" s="441"/>
      <c r="O250" s="69"/>
      <c r="P250" s="12"/>
    </row>
    <row r="251" spans="2:16" ht="15" customHeight="1" x14ac:dyDescent="0.25">
      <c r="B251" s="580">
        <v>2009</v>
      </c>
      <c r="C251" s="22">
        <v>2635</v>
      </c>
      <c r="D251" s="11"/>
      <c r="E251" s="11"/>
      <c r="F251" s="11">
        <v>17473</v>
      </c>
      <c r="G251" s="11">
        <v>99</v>
      </c>
      <c r="H251" s="11">
        <v>28102</v>
      </c>
      <c r="I251" s="10">
        <v>528</v>
      </c>
      <c r="J251" s="321">
        <f t="shared" si="17"/>
        <v>198210</v>
      </c>
      <c r="K251" s="438"/>
      <c r="M251" s="441"/>
      <c r="O251" s="69"/>
      <c r="P251" s="12"/>
    </row>
    <row r="252" spans="2:16" ht="15" customHeight="1" x14ac:dyDescent="0.25">
      <c r="B252" s="581">
        <v>2010</v>
      </c>
      <c r="C252" s="448">
        <v>2584</v>
      </c>
      <c r="D252" s="300"/>
      <c r="E252" s="300"/>
      <c r="F252" s="300">
        <f>14841+5543</f>
        <v>20384</v>
      </c>
      <c r="G252" s="300">
        <v>98</v>
      </c>
      <c r="H252" s="300">
        <v>30203</v>
      </c>
      <c r="I252" s="301">
        <v>457</v>
      </c>
      <c r="J252" s="455">
        <f t="shared" si="17"/>
        <v>206753</v>
      </c>
      <c r="K252" s="438"/>
      <c r="M252" s="441"/>
      <c r="O252" s="69"/>
      <c r="P252" s="12"/>
    </row>
    <row r="253" spans="2:16" ht="15" customHeight="1" x14ac:dyDescent="0.25">
      <c r="B253" s="580">
        <v>2011</v>
      </c>
      <c r="C253" s="22">
        <v>4110</v>
      </c>
      <c r="D253" s="11"/>
      <c r="E253" s="11"/>
      <c r="F253" s="11">
        <f>13333+5891</f>
        <v>19224</v>
      </c>
      <c r="G253" s="11">
        <v>96</v>
      </c>
      <c r="H253" s="11">
        <v>35121</v>
      </c>
      <c r="I253" s="10">
        <v>297</v>
      </c>
      <c r="J253" s="321">
        <f t="shared" si="17"/>
        <v>219191</v>
      </c>
      <c r="K253" s="438"/>
      <c r="M253" s="441"/>
      <c r="O253" s="69"/>
      <c r="P253" s="12"/>
    </row>
    <row r="254" spans="2:16" ht="15" customHeight="1" x14ac:dyDescent="0.25">
      <c r="B254" s="581">
        <v>2012</v>
      </c>
      <c r="C254" s="448">
        <v>3373</v>
      </c>
      <c r="D254" s="300"/>
      <c r="E254" s="300"/>
      <c r="F254" s="300">
        <f>13639+6201</f>
        <v>19840</v>
      </c>
      <c r="G254" s="300">
        <v>115</v>
      </c>
      <c r="H254" s="300">
        <v>42084</v>
      </c>
      <c r="I254" s="301">
        <v>287</v>
      </c>
      <c r="J254" s="455">
        <f t="shared" si="17"/>
        <v>235412</v>
      </c>
      <c r="K254" s="438"/>
      <c r="M254" s="441"/>
      <c r="O254" s="69"/>
      <c r="P254" s="12"/>
    </row>
    <row r="255" spans="2:16" ht="15" customHeight="1" x14ac:dyDescent="0.25">
      <c r="B255" s="582">
        <v>2013</v>
      </c>
      <c r="C255" s="74">
        <v>2044</v>
      </c>
      <c r="D255" s="75"/>
      <c r="E255" s="75"/>
      <c r="F255" s="75">
        <f>14113+6243</f>
        <v>20356</v>
      </c>
      <c r="G255" s="75">
        <v>129</v>
      </c>
      <c r="H255" s="75">
        <v>44956</v>
      </c>
      <c r="I255" s="92">
        <v>269</v>
      </c>
      <c r="J255" s="462">
        <f t="shared" si="17"/>
        <v>246113</v>
      </c>
      <c r="K255" s="438"/>
      <c r="M255" s="441"/>
      <c r="O255" s="69"/>
      <c r="P255" s="12"/>
    </row>
    <row r="256" spans="2:16" ht="15" customHeight="1" x14ac:dyDescent="0.25">
      <c r="B256" s="582">
        <v>2014</v>
      </c>
      <c r="C256" s="74">
        <v>3459</v>
      </c>
      <c r="D256" s="75"/>
      <c r="E256" s="75"/>
      <c r="F256" s="75">
        <f>14605+6563</f>
        <v>21168</v>
      </c>
      <c r="G256" s="75">
        <v>148</v>
      </c>
      <c r="H256" s="75">
        <v>52282</v>
      </c>
      <c r="I256" s="92">
        <v>395</v>
      </c>
      <c r="J256" s="462">
        <f t="shared" si="17"/>
        <v>246876</v>
      </c>
      <c r="K256" s="438"/>
      <c r="M256" s="441"/>
      <c r="O256" s="69"/>
      <c r="P256" s="12"/>
    </row>
    <row r="257" spans="2:17" ht="15" customHeight="1" x14ac:dyDescent="0.25">
      <c r="B257" s="582">
        <v>2015</v>
      </c>
      <c r="C257" s="74">
        <v>4123</v>
      </c>
      <c r="D257" s="75"/>
      <c r="E257" s="75"/>
      <c r="F257" s="75">
        <v>21923</v>
      </c>
      <c r="G257" s="75">
        <v>316</v>
      </c>
      <c r="H257" s="75">
        <v>54907</v>
      </c>
      <c r="I257" s="92">
        <v>302</v>
      </c>
      <c r="J257" s="462">
        <f t="shared" si="17"/>
        <v>287337</v>
      </c>
      <c r="K257" s="438"/>
      <c r="M257" s="441"/>
      <c r="O257" s="69"/>
      <c r="P257" s="12"/>
    </row>
    <row r="258" spans="2:17" ht="15" customHeight="1" x14ac:dyDescent="0.25">
      <c r="B258" s="582">
        <v>2016</v>
      </c>
      <c r="C258" s="74">
        <v>2782</v>
      </c>
      <c r="D258" s="75"/>
      <c r="E258" s="75"/>
      <c r="F258" s="75">
        <v>23484</v>
      </c>
      <c r="G258" s="75">
        <v>201</v>
      </c>
      <c r="H258" s="75">
        <v>55703</v>
      </c>
      <c r="I258" s="92">
        <v>311</v>
      </c>
      <c r="J258" s="462">
        <f t="shared" si="17"/>
        <v>261164</v>
      </c>
      <c r="K258" s="438"/>
      <c r="M258" s="441"/>
      <c r="O258" s="69"/>
      <c r="P258" s="12"/>
    </row>
    <row r="259" spans="2:17" ht="15" customHeight="1" x14ac:dyDescent="0.25">
      <c r="B259" s="582">
        <v>2017</v>
      </c>
      <c r="C259" s="74">
        <v>2899</v>
      </c>
      <c r="D259" s="75"/>
      <c r="E259" s="75"/>
      <c r="F259" s="75">
        <v>23947</v>
      </c>
      <c r="G259" s="75">
        <v>222</v>
      </c>
      <c r="H259" s="75">
        <v>57190</v>
      </c>
      <c r="I259" s="75">
        <v>332</v>
      </c>
      <c r="J259" s="462">
        <f t="shared" si="17"/>
        <v>269684</v>
      </c>
      <c r="K259" s="438"/>
      <c r="M259" s="441"/>
      <c r="O259" s="69"/>
      <c r="P259" s="12"/>
    </row>
    <row r="260" spans="2:17" ht="15" customHeight="1" x14ac:dyDescent="0.25">
      <c r="B260" s="582">
        <v>2018</v>
      </c>
      <c r="C260" s="74">
        <v>2927</v>
      </c>
      <c r="D260" s="75"/>
      <c r="E260" s="75"/>
      <c r="F260" s="75">
        <v>25710</v>
      </c>
      <c r="G260" s="75">
        <v>464</v>
      </c>
      <c r="H260" s="75">
        <v>59836</v>
      </c>
      <c r="I260" s="75">
        <v>311</v>
      </c>
      <c r="J260" s="462">
        <f t="shared" si="17"/>
        <v>273081</v>
      </c>
      <c r="K260" s="438"/>
      <c r="M260" s="441"/>
      <c r="O260" s="69"/>
      <c r="P260" s="12"/>
    </row>
    <row r="261" spans="2:17" ht="15" customHeight="1" x14ac:dyDescent="0.25">
      <c r="B261" s="582">
        <v>2019</v>
      </c>
      <c r="C261" s="74">
        <v>3216</v>
      </c>
      <c r="D261" s="75"/>
      <c r="E261" s="75"/>
      <c r="F261" s="75">
        <v>24859</v>
      </c>
      <c r="G261" s="75">
        <v>168</v>
      </c>
      <c r="H261" s="75">
        <v>58614</v>
      </c>
      <c r="I261" s="92">
        <v>283</v>
      </c>
      <c r="J261" s="462">
        <f t="shared" ref="J261:J263" si="18">SUM(C132:J132,C261:I261)</f>
        <v>237381</v>
      </c>
      <c r="K261" s="438"/>
      <c r="M261" s="441"/>
      <c r="O261" s="69"/>
      <c r="P261" s="12"/>
    </row>
    <row r="262" spans="2:17" ht="15" customHeight="1" x14ac:dyDescent="0.25">
      <c r="B262" s="582">
        <v>2020</v>
      </c>
      <c r="C262" s="74">
        <v>2135</v>
      </c>
      <c r="D262" s="75"/>
      <c r="E262" s="75"/>
      <c r="F262" s="75">
        <v>24704</v>
      </c>
      <c r="G262" s="75">
        <v>137</v>
      </c>
      <c r="H262" s="75">
        <v>18763</v>
      </c>
      <c r="I262" s="92">
        <v>334</v>
      </c>
      <c r="J262" s="462">
        <f t="shared" si="18"/>
        <v>230968</v>
      </c>
      <c r="K262" s="438"/>
      <c r="M262" s="441"/>
      <c r="O262" s="69"/>
      <c r="P262" s="12"/>
    </row>
    <row r="263" spans="2:17" ht="15" customHeight="1" thickBot="1" x14ac:dyDescent="0.3">
      <c r="B263" s="720">
        <v>2021</v>
      </c>
      <c r="C263" s="774">
        <v>1706</v>
      </c>
      <c r="D263" s="718"/>
      <c r="E263" s="718"/>
      <c r="F263" s="718">
        <v>25638</v>
      </c>
      <c r="G263" s="718">
        <v>199</v>
      </c>
      <c r="H263" s="718">
        <v>44500</v>
      </c>
      <c r="I263" s="792">
        <v>305</v>
      </c>
      <c r="J263" s="322">
        <f t="shared" si="18"/>
        <v>72348</v>
      </c>
      <c r="K263" s="438"/>
      <c r="M263" s="441"/>
      <c r="O263" s="69"/>
      <c r="P263" s="12"/>
    </row>
    <row r="264" spans="2:17" ht="15" customHeight="1" x14ac:dyDescent="0.25"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60"/>
      <c r="Q264" s="12"/>
    </row>
    <row r="265" spans="2:17" s="14" customFormat="1" ht="15" customHeight="1" x14ac:dyDescent="0.25">
      <c r="B265" s="14" t="s">
        <v>219</v>
      </c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</row>
    <row r="266" spans="2:17" ht="15" customHeight="1" x14ac:dyDescent="0.25"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</row>
    <row r="267" spans="2:17" ht="15" customHeight="1" x14ac:dyDescent="0.25"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</row>
    <row r="268" spans="2:17" ht="15" customHeight="1" x14ac:dyDescent="0.25">
      <c r="C268" s="43"/>
      <c r="D268" s="43"/>
      <c r="E268" s="43"/>
      <c r="H268" s="43"/>
      <c r="I268" s="43"/>
      <c r="J268" s="43"/>
      <c r="K268" s="43"/>
      <c r="L268" s="43"/>
      <c r="M268" s="43"/>
    </row>
    <row r="269" spans="2:17" ht="15" customHeight="1" x14ac:dyDescent="0.25">
      <c r="C269" s="43"/>
      <c r="D269" s="43"/>
      <c r="E269" s="43"/>
      <c r="F269" s="43"/>
      <c r="G269" s="66"/>
      <c r="H269" s="43"/>
      <c r="I269" s="43"/>
      <c r="J269" s="43"/>
      <c r="K269" s="43"/>
      <c r="L269" s="43"/>
      <c r="M269" s="43"/>
    </row>
  </sheetData>
  <mergeCells count="4">
    <mergeCell ref="B1:J1"/>
    <mergeCell ref="B2:J2"/>
    <mergeCell ref="B3:J3"/>
    <mergeCell ref="B4:J4"/>
  </mergeCells>
  <phoneticPr fontId="0" type="noConversion"/>
  <printOptions horizontalCentered="1"/>
  <pageMargins left="0.78740157480314965" right="0.39370078740157483" top="0.39370078740157483" bottom="0.78740157480314965" header="0" footer="0"/>
  <pageSetup scale="27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Q268"/>
  <sheetViews>
    <sheetView workbookViewId="0">
      <selection activeCell="E13" sqref="E13"/>
    </sheetView>
  </sheetViews>
  <sheetFormatPr baseColWidth="10" defaultColWidth="11.44140625" defaultRowHeight="15" x14ac:dyDescent="0.25"/>
  <cols>
    <col min="1" max="1" width="2.6640625" style="13" customWidth="1"/>
    <col min="2" max="2" width="25.6640625" style="13" customWidth="1"/>
    <col min="3" max="9" width="12.6640625" style="13" customWidth="1"/>
    <col min="10" max="10" width="13.109375" style="13" customWidth="1"/>
    <col min="11" max="11" width="13" style="13" customWidth="1"/>
    <col min="12" max="12" width="13.33203125" style="13" customWidth="1"/>
    <col min="13" max="16" width="12.6640625" style="13" customWidth="1"/>
    <col min="17" max="16384" width="11.44140625" style="13"/>
  </cols>
  <sheetData>
    <row r="1" spans="2:16" ht="15" customHeight="1" x14ac:dyDescent="0.25">
      <c r="B1" s="864" t="s">
        <v>188</v>
      </c>
      <c r="C1" s="864"/>
      <c r="D1" s="864"/>
      <c r="E1" s="864"/>
      <c r="F1" s="864"/>
      <c r="G1" s="864"/>
      <c r="H1" s="864"/>
      <c r="I1" s="864"/>
      <c r="J1" s="864"/>
      <c r="K1" s="41"/>
      <c r="L1" s="41"/>
      <c r="M1" s="41"/>
      <c r="N1" s="41"/>
      <c r="O1" s="41"/>
      <c r="P1" s="41"/>
    </row>
    <row r="2" spans="2:16" ht="15" customHeight="1" x14ac:dyDescent="0.25">
      <c r="B2" s="864" t="s">
        <v>30</v>
      </c>
      <c r="C2" s="864"/>
      <c r="D2" s="864"/>
      <c r="E2" s="864"/>
      <c r="F2" s="864"/>
      <c r="G2" s="864"/>
      <c r="H2" s="864"/>
      <c r="I2" s="864"/>
      <c r="J2" s="864"/>
      <c r="K2" s="41"/>
      <c r="L2" s="41"/>
      <c r="M2" s="41"/>
      <c r="N2" s="41"/>
      <c r="O2" s="41"/>
      <c r="P2" s="41"/>
    </row>
    <row r="3" spans="2:16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41"/>
      <c r="L3" s="41"/>
      <c r="M3" s="41"/>
      <c r="N3" s="41"/>
      <c r="O3" s="41"/>
      <c r="P3" s="41"/>
    </row>
    <row r="4" spans="2:16" ht="15" customHeight="1" x14ac:dyDescent="0.25">
      <c r="B4" s="927" t="s">
        <v>187</v>
      </c>
      <c r="C4" s="927"/>
      <c r="D4" s="927"/>
      <c r="E4" s="927"/>
      <c r="F4" s="927"/>
      <c r="G4" s="927"/>
      <c r="H4" s="927"/>
      <c r="I4" s="927"/>
      <c r="J4" s="927"/>
      <c r="K4" s="6"/>
      <c r="L4" s="6"/>
      <c r="M4" s="6"/>
      <c r="N4" s="6"/>
      <c r="O4" s="6"/>
      <c r="P4" s="6"/>
    </row>
    <row r="5" spans="2:16" ht="15" customHeight="1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39.9" customHeight="1" thickBot="1" x14ac:dyDescent="0.3">
      <c r="B6" s="565" t="s">
        <v>100</v>
      </c>
      <c r="C6" s="566" t="s">
        <v>31</v>
      </c>
      <c r="D6" s="567" t="s">
        <v>32</v>
      </c>
      <c r="E6" s="567" t="s">
        <v>254</v>
      </c>
      <c r="F6" s="567" t="s">
        <v>33</v>
      </c>
      <c r="G6" s="563" t="s">
        <v>131</v>
      </c>
      <c r="H6" s="567" t="s">
        <v>34</v>
      </c>
      <c r="I6" s="568" t="s">
        <v>0</v>
      </c>
      <c r="J6" s="564" t="s">
        <v>132</v>
      </c>
      <c r="K6" s="31"/>
      <c r="L6" s="31"/>
      <c r="M6" s="52"/>
      <c r="N6" s="52"/>
      <c r="O6" s="31"/>
      <c r="P6" s="31"/>
    </row>
    <row r="7" spans="2:16" s="67" customFormat="1" ht="15" customHeight="1" x14ac:dyDescent="0.25">
      <c r="B7" s="569"/>
      <c r="C7" s="326"/>
      <c r="D7" s="71"/>
      <c r="E7" s="71"/>
      <c r="F7" s="71"/>
      <c r="G7" s="72"/>
      <c r="H7" s="71"/>
      <c r="I7" s="324"/>
      <c r="J7" s="325"/>
      <c r="K7" s="31"/>
      <c r="L7" s="31"/>
      <c r="M7" s="52"/>
      <c r="N7" s="52"/>
      <c r="O7" s="31"/>
      <c r="P7" s="31"/>
    </row>
    <row r="8" spans="2:16" ht="15" customHeight="1" x14ac:dyDescent="0.25">
      <c r="B8" s="570" t="s">
        <v>119</v>
      </c>
      <c r="C8" s="30"/>
      <c r="D8" s="11"/>
      <c r="E8" s="11"/>
      <c r="F8" s="11"/>
      <c r="G8" s="11"/>
      <c r="H8" s="11"/>
      <c r="I8" s="137"/>
      <c r="J8" s="10"/>
      <c r="K8" s="12"/>
      <c r="L8" s="12"/>
      <c r="M8" s="12"/>
      <c r="N8" s="12"/>
      <c r="O8" s="12"/>
      <c r="P8" s="12"/>
    </row>
    <row r="9" spans="2:16" ht="15" customHeight="1" x14ac:dyDescent="0.25">
      <c r="B9" s="571">
        <v>1999</v>
      </c>
      <c r="C9" s="345">
        <f t="shared" ref="C9:D11" si="0">+C36+C61+C86+C111</f>
        <v>1998.3571428571427</v>
      </c>
      <c r="D9" s="20">
        <f t="shared" si="0"/>
        <v>1101.3333333333335</v>
      </c>
      <c r="E9" s="20"/>
      <c r="F9" s="20">
        <f t="shared" ref="F9:J10" si="1">+F36+F61+F86+F111</f>
        <v>299.5</v>
      </c>
      <c r="G9" s="20">
        <f t="shared" si="1"/>
        <v>129.78571428571428</v>
      </c>
      <c r="H9" s="20">
        <f t="shared" si="1"/>
        <v>4311.5476190476193</v>
      </c>
      <c r="I9" s="346">
        <f t="shared" si="1"/>
        <v>361.47619047619048</v>
      </c>
      <c r="J9" s="347">
        <f t="shared" si="1"/>
        <v>1946.9047619047619</v>
      </c>
      <c r="K9" s="69"/>
      <c r="L9" s="69"/>
      <c r="M9" s="69"/>
      <c r="N9" s="69"/>
      <c r="O9" s="69"/>
      <c r="P9" s="69"/>
    </row>
    <row r="10" spans="2:16" ht="15" customHeight="1" x14ac:dyDescent="0.25">
      <c r="B10" s="571">
        <v>2000</v>
      </c>
      <c r="C10" s="345">
        <f t="shared" si="0"/>
        <v>1517.0238095238094</v>
      </c>
      <c r="D10" s="20">
        <f t="shared" si="0"/>
        <v>1539.2857142857142</v>
      </c>
      <c r="E10" s="20"/>
      <c r="F10" s="20">
        <f t="shared" si="1"/>
        <v>255.54761904761904</v>
      </c>
      <c r="G10" s="20">
        <f t="shared" si="1"/>
        <v>89.047619047619037</v>
      </c>
      <c r="H10" s="20">
        <f t="shared" si="1"/>
        <v>4100.7142857142853</v>
      </c>
      <c r="I10" s="346">
        <f t="shared" si="1"/>
        <v>475</v>
      </c>
      <c r="J10" s="347">
        <f t="shared" si="1"/>
        <v>790.28571428571433</v>
      </c>
      <c r="K10" s="69"/>
      <c r="L10" s="141"/>
      <c r="M10" s="69"/>
      <c r="N10" s="69"/>
      <c r="O10" s="69"/>
      <c r="P10" s="69"/>
    </row>
    <row r="11" spans="2:16" ht="15" customHeight="1" x14ac:dyDescent="0.25">
      <c r="B11" s="571">
        <v>2001</v>
      </c>
      <c r="C11" s="345">
        <f t="shared" si="0"/>
        <v>740.90476190476193</v>
      </c>
      <c r="D11" s="20">
        <f t="shared" si="0"/>
        <v>2544.0952380952381</v>
      </c>
      <c r="E11" s="20"/>
      <c r="F11" s="20"/>
      <c r="G11" s="20">
        <f>+G38+G63+G88+G113</f>
        <v>72.38095238095238</v>
      </c>
      <c r="H11" s="20">
        <f>+H38+H63+H88+H113</f>
        <v>4171.9047619047624</v>
      </c>
      <c r="I11" s="346">
        <f>+I38+I63+I88+I113</f>
        <v>1065</v>
      </c>
      <c r="J11" s="347">
        <f>+J38+J63+J88+J113</f>
        <v>1751.2142857142858</v>
      </c>
      <c r="K11" s="69"/>
      <c r="L11" s="69"/>
      <c r="M11" s="69"/>
      <c r="N11" s="69"/>
      <c r="O11" s="69"/>
      <c r="P11" s="69"/>
    </row>
    <row r="12" spans="2:16" ht="15" customHeight="1" x14ac:dyDescent="0.25">
      <c r="B12" s="571">
        <v>2002</v>
      </c>
      <c r="C12" s="345"/>
      <c r="D12" s="20">
        <f t="shared" ref="D12:D31" si="2">+D39+D64+D89+D114</f>
        <v>3352.7857142857142</v>
      </c>
      <c r="E12" s="20"/>
      <c r="F12" s="20"/>
      <c r="G12" s="20">
        <f t="shared" ref="G12:H28" si="3">+G39+G64+G89+G114</f>
        <v>76.738095238095241</v>
      </c>
      <c r="H12" s="20">
        <f t="shared" si="3"/>
        <v>4290.1428571428569</v>
      </c>
      <c r="I12" s="346">
        <f>+I64+I89+I114+I39</f>
        <v>1185.1666666666665</v>
      </c>
      <c r="J12" s="347">
        <f t="shared" ref="J12:J31" si="4">+J39+J64+J89+J114</f>
        <v>1719.3571428571429</v>
      </c>
      <c r="K12" s="69"/>
      <c r="L12" s="69"/>
      <c r="M12" s="69"/>
      <c r="N12" s="69"/>
      <c r="O12" s="69"/>
      <c r="P12" s="69"/>
    </row>
    <row r="13" spans="2:16" ht="15" customHeight="1" x14ac:dyDescent="0.25">
      <c r="B13" s="571">
        <v>2003</v>
      </c>
      <c r="C13" s="345"/>
      <c r="D13" s="20">
        <f t="shared" si="2"/>
        <v>3431.0476190476193</v>
      </c>
      <c r="E13" s="20"/>
      <c r="F13" s="20"/>
      <c r="G13" s="20">
        <f t="shared" si="3"/>
        <v>81.11904761904762</v>
      </c>
      <c r="H13" s="20">
        <f t="shared" si="3"/>
        <v>4828.9285714285716</v>
      </c>
      <c r="I13" s="346">
        <f t="shared" ref="I13:I28" si="5">+I40+I65+I90+I115</f>
        <v>1064</v>
      </c>
      <c r="J13" s="347">
        <f t="shared" si="4"/>
        <v>2729.6428571428573</v>
      </c>
      <c r="K13" s="69"/>
      <c r="L13" s="69"/>
      <c r="M13" s="69"/>
      <c r="N13" s="69"/>
      <c r="O13" s="69"/>
      <c r="P13" s="69"/>
    </row>
    <row r="14" spans="2:16" ht="15" customHeight="1" x14ac:dyDescent="0.25">
      <c r="B14" s="571">
        <v>2004</v>
      </c>
      <c r="C14" s="345"/>
      <c r="D14" s="20">
        <f t="shared" si="2"/>
        <v>3622.8809523809523</v>
      </c>
      <c r="E14" s="20"/>
      <c r="F14" s="20"/>
      <c r="G14" s="20">
        <f t="shared" si="3"/>
        <v>49.5</v>
      </c>
      <c r="H14" s="20">
        <f t="shared" si="3"/>
        <v>5055.0476190476184</v>
      </c>
      <c r="I14" s="346">
        <f t="shared" si="5"/>
        <v>385.88095238095241</v>
      </c>
      <c r="J14" s="347">
        <f t="shared" si="4"/>
        <v>2460.1904761904761</v>
      </c>
      <c r="K14" s="69"/>
      <c r="L14" s="69"/>
      <c r="M14" s="69"/>
      <c r="N14" s="69"/>
      <c r="O14" s="69"/>
      <c r="P14" s="69"/>
    </row>
    <row r="15" spans="2:16" ht="15" customHeight="1" x14ac:dyDescent="0.25">
      <c r="B15" s="571">
        <v>2005</v>
      </c>
      <c r="C15" s="345"/>
      <c r="D15" s="20">
        <f t="shared" si="2"/>
        <v>3478.5714285714289</v>
      </c>
      <c r="E15" s="20"/>
      <c r="F15" s="20"/>
      <c r="G15" s="20">
        <f t="shared" si="3"/>
        <v>29.30952380952381</v>
      </c>
      <c r="H15" s="20">
        <f t="shared" si="3"/>
        <v>4781.1666666666661</v>
      </c>
      <c r="I15" s="20">
        <f t="shared" si="5"/>
        <v>152.95238095238096</v>
      </c>
      <c r="J15" s="347">
        <f t="shared" si="4"/>
        <v>2829.1904761904761</v>
      </c>
      <c r="K15" s="69"/>
      <c r="L15" s="69"/>
      <c r="M15" s="69"/>
      <c r="N15" s="69"/>
      <c r="O15" s="69"/>
      <c r="P15" s="69"/>
    </row>
    <row r="16" spans="2:16" ht="15" customHeight="1" x14ac:dyDescent="0.25">
      <c r="B16" s="571">
        <v>2006</v>
      </c>
      <c r="C16" s="345"/>
      <c r="D16" s="20">
        <f t="shared" si="2"/>
        <v>3531.1904761904761</v>
      </c>
      <c r="E16" s="20"/>
      <c r="F16" s="20"/>
      <c r="G16" s="20">
        <f t="shared" si="3"/>
        <v>19.642857142857142</v>
      </c>
      <c r="H16" s="20">
        <f t="shared" si="3"/>
        <v>4786.3333333333339</v>
      </c>
      <c r="I16" s="20">
        <f t="shared" si="5"/>
        <v>221.3095238095238</v>
      </c>
      <c r="J16" s="347">
        <f t="shared" si="4"/>
        <v>3040.2380952380954</v>
      </c>
      <c r="K16" s="69"/>
      <c r="L16" s="69"/>
      <c r="M16" s="69"/>
      <c r="N16" s="69"/>
      <c r="O16" s="69"/>
      <c r="P16" s="69"/>
    </row>
    <row r="17" spans="2:16" ht="15" customHeight="1" x14ac:dyDescent="0.25">
      <c r="B17" s="571">
        <v>2007</v>
      </c>
      <c r="C17" s="345"/>
      <c r="D17" s="20">
        <f t="shared" si="2"/>
        <v>3897.5</v>
      </c>
      <c r="E17" s="20"/>
      <c r="F17" s="20"/>
      <c r="G17" s="20">
        <f t="shared" si="3"/>
        <v>14.333333333333334</v>
      </c>
      <c r="H17" s="20">
        <f t="shared" si="3"/>
        <v>6298.5476190476193</v>
      </c>
      <c r="I17" s="20">
        <f t="shared" si="5"/>
        <v>286.90476190476193</v>
      </c>
      <c r="J17" s="347">
        <f t="shared" si="4"/>
        <v>2918.2619047619046</v>
      </c>
      <c r="K17" s="69"/>
      <c r="L17" s="69"/>
      <c r="M17" s="69"/>
      <c r="N17" s="69"/>
      <c r="O17" s="69"/>
      <c r="P17" s="69"/>
    </row>
    <row r="18" spans="2:16" ht="15" customHeight="1" x14ac:dyDescent="0.25">
      <c r="B18" s="571">
        <v>2008</v>
      </c>
      <c r="C18" s="345"/>
      <c r="D18" s="20">
        <f t="shared" si="2"/>
        <v>4051.9523809523812</v>
      </c>
      <c r="E18" s="20"/>
      <c r="F18" s="20"/>
      <c r="G18" s="20">
        <f t="shared" si="3"/>
        <v>11.880952380952381</v>
      </c>
      <c r="H18" s="20">
        <f t="shared" si="3"/>
        <v>6788.666666666667</v>
      </c>
      <c r="I18" s="20">
        <f t="shared" si="5"/>
        <v>0</v>
      </c>
      <c r="J18" s="347">
        <f t="shared" si="4"/>
        <v>2451.1428571428569</v>
      </c>
      <c r="K18" s="69"/>
      <c r="L18" s="69"/>
      <c r="M18" s="69"/>
      <c r="N18" s="69"/>
      <c r="O18" s="69"/>
      <c r="P18" s="69"/>
    </row>
    <row r="19" spans="2:16" ht="15" customHeight="1" x14ac:dyDescent="0.25">
      <c r="B19" s="571">
        <v>2009</v>
      </c>
      <c r="C19" s="345"/>
      <c r="D19" s="20">
        <f t="shared" si="2"/>
        <v>4701.7857142857138</v>
      </c>
      <c r="E19" s="20"/>
      <c r="F19" s="20"/>
      <c r="G19" s="20">
        <f t="shared" si="3"/>
        <v>20.785714285714285</v>
      </c>
      <c r="H19" s="20">
        <f t="shared" si="3"/>
        <v>6804.4761904761908</v>
      </c>
      <c r="I19" s="20">
        <f t="shared" si="5"/>
        <v>0</v>
      </c>
      <c r="J19" s="347">
        <f t="shared" si="4"/>
        <v>2029.3095238095239</v>
      </c>
      <c r="K19" s="69"/>
      <c r="L19" s="69"/>
      <c r="M19" s="69"/>
      <c r="N19" s="69"/>
      <c r="O19" s="69"/>
      <c r="P19" s="69"/>
    </row>
    <row r="20" spans="2:16" ht="15" customHeight="1" x14ac:dyDescent="0.25">
      <c r="B20" s="571">
        <v>2010</v>
      </c>
      <c r="C20" s="345"/>
      <c r="D20" s="20">
        <f t="shared" si="2"/>
        <v>5038.2619047619046</v>
      </c>
      <c r="E20" s="20"/>
      <c r="F20" s="20"/>
      <c r="G20" s="20">
        <f t="shared" si="3"/>
        <v>61.285714285714278</v>
      </c>
      <c r="H20" s="20">
        <f t="shared" si="3"/>
        <v>7857.6904761904752</v>
      </c>
      <c r="I20" s="20">
        <f t="shared" si="5"/>
        <v>0</v>
      </c>
      <c r="J20" s="347">
        <f t="shared" si="4"/>
        <v>2492.6428571428569</v>
      </c>
      <c r="K20" s="69"/>
      <c r="L20" s="69"/>
      <c r="M20" s="69"/>
      <c r="N20" s="69"/>
      <c r="O20" s="69"/>
      <c r="P20" s="69"/>
    </row>
    <row r="21" spans="2:16" ht="15" customHeight="1" x14ac:dyDescent="0.25">
      <c r="B21" s="571">
        <v>2011</v>
      </c>
      <c r="C21" s="345"/>
      <c r="D21" s="20">
        <f t="shared" si="2"/>
        <v>5247.5</v>
      </c>
      <c r="E21" s="20"/>
      <c r="F21" s="20"/>
      <c r="G21" s="20">
        <f t="shared" si="3"/>
        <v>23.380952380952383</v>
      </c>
      <c r="H21" s="20">
        <f t="shared" si="3"/>
        <v>9018.2619047619046</v>
      </c>
      <c r="I21" s="20">
        <f t="shared" si="5"/>
        <v>0</v>
      </c>
      <c r="J21" s="347">
        <f t="shared" si="4"/>
        <v>2736.8095238095234</v>
      </c>
      <c r="K21" s="69"/>
      <c r="L21" s="69"/>
      <c r="M21" s="69"/>
      <c r="N21" s="69"/>
      <c r="O21" s="69"/>
      <c r="P21" s="69"/>
    </row>
    <row r="22" spans="2:16" ht="15" customHeight="1" x14ac:dyDescent="0.25">
      <c r="B22" s="571">
        <v>2012</v>
      </c>
      <c r="C22" s="345"/>
      <c r="D22" s="20">
        <f t="shared" si="2"/>
        <v>5568.8571428571431</v>
      </c>
      <c r="E22" s="20"/>
      <c r="F22" s="20"/>
      <c r="G22" s="20">
        <f t="shared" si="3"/>
        <v>9.8809523809523814</v>
      </c>
      <c r="H22" s="20">
        <f t="shared" si="3"/>
        <v>8414.7857142857138</v>
      </c>
      <c r="I22" s="20">
        <f t="shared" si="5"/>
        <v>0</v>
      </c>
      <c r="J22" s="347">
        <f t="shared" si="4"/>
        <v>2876.8095238095239</v>
      </c>
      <c r="K22" s="69"/>
      <c r="L22" s="69"/>
      <c r="M22" s="69"/>
      <c r="N22" s="69"/>
      <c r="O22" s="69"/>
      <c r="P22" s="69"/>
    </row>
    <row r="23" spans="2:16" ht="15" customHeight="1" x14ac:dyDescent="0.25">
      <c r="B23" s="571">
        <v>2013</v>
      </c>
      <c r="C23" s="345"/>
      <c r="D23" s="20">
        <f t="shared" si="2"/>
        <v>4667.2619047619046</v>
      </c>
      <c r="E23" s="20">
        <f t="shared" ref="E23:E28" si="6">+E50+E75+E100+E125</f>
        <v>1145.3809523809523</v>
      </c>
      <c r="F23" s="20"/>
      <c r="G23" s="20">
        <f t="shared" si="3"/>
        <v>7.3571428571428577</v>
      </c>
      <c r="H23" s="20">
        <f t="shared" si="3"/>
        <v>9002.5476190476202</v>
      </c>
      <c r="I23" s="20">
        <f t="shared" si="5"/>
        <v>0</v>
      </c>
      <c r="J23" s="347">
        <f t="shared" si="4"/>
        <v>2417.3809523809523</v>
      </c>
      <c r="K23" s="69"/>
      <c r="L23" s="69"/>
      <c r="M23" s="69"/>
      <c r="N23" s="69"/>
      <c r="O23" s="69"/>
      <c r="P23" s="69"/>
    </row>
    <row r="24" spans="2:16" ht="15" customHeight="1" x14ac:dyDescent="0.25">
      <c r="B24" s="571">
        <v>2014</v>
      </c>
      <c r="C24" s="345"/>
      <c r="D24" s="20">
        <f t="shared" si="2"/>
        <v>3039.8809523809523</v>
      </c>
      <c r="E24" s="20">
        <f t="shared" si="6"/>
        <v>3224.7380952380954</v>
      </c>
      <c r="F24" s="20"/>
      <c r="G24" s="20">
        <f t="shared" si="3"/>
        <v>7.8571428571428559</v>
      </c>
      <c r="H24" s="20">
        <f t="shared" si="3"/>
        <v>10318.619047619046</v>
      </c>
      <c r="I24" s="20">
        <f t="shared" si="5"/>
        <v>0</v>
      </c>
      <c r="J24" s="347">
        <f t="shared" si="4"/>
        <v>1311.2619047619048</v>
      </c>
      <c r="K24" s="69"/>
      <c r="L24" s="69"/>
      <c r="M24" s="69"/>
      <c r="N24" s="69"/>
      <c r="O24" s="69"/>
      <c r="P24" s="69"/>
    </row>
    <row r="25" spans="2:16" ht="15" customHeight="1" x14ac:dyDescent="0.25">
      <c r="B25" s="571">
        <v>2015</v>
      </c>
      <c r="C25" s="345"/>
      <c r="D25" s="20">
        <f t="shared" si="2"/>
        <v>6862.6190476190477</v>
      </c>
      <c r="E25" s="20">
        <f t="shared" si="6"/>
        <v>0</v>
      </c>
      <c r="F25" s="20"/>
      <c r="G25" s="20">
        <f t="shared" si="3"/>
        <v>5.8571428571428577</v>
      </c>
      <c r="H25" s="20">
        <f t="shared" si="3"/>
        <v>8618.4285714285725</v>
      </c>
      <c r="I25" s="20">
        <f t="shared" si="5"/>
        <v>0</v>
      </c>
      <c r="J25" s="347">
        <f t="shared" si="4"/>
        <v>2833.6190476190477</v>
      </c>
      <c r="K25" s="69"/>
      <c r="L25" s="69"/>
      <c r="M25" s="69"/>
      <c r="N25" s="69"/>
      <c r="O25" s="69"/>
      <c r="P25" s="69"/>
    </row>
    <row r="26" spans="2:16" ht="15" customHeight="1" x14ac:dyDescent="0.25">
      <c r="B26" s="571">
        <v>2016</v>
      </c>
      <c r="C26" s="345"/>
      <c r="D26" s="20">
        <f t="shared" si="2"/>
        <v>7381.2619047619046</v>
      </c>
      <c r="E26" s="20">
        <f t="shared" si="6"/>
        <v>0</v>
      </c>
      <c r="F26" s="20"/>
      <c r="G26" s="20">
        <f t="shared" si="3"/>
        <v>7.1666666666666679</v>
      </c>
      <c r="H26" s="20">
        <f t="shared" si="3"/>
        <v>8350.4047619047633</v>
      </c>
      <c r="I26" s="20">
        <f t="shared" si="5"/>
        <v>0</v>
      </c>
      <c r="J26" s="347">
        <f t="shared" si="4"/>
        <v>3182.1904761904761</v>
      </c>
      <c r="K26" s="69"/>
      <c r="L26" s="69"/>
      <c r="M26" s="69"/>
      <c r="N26" s="69"/>
      <c r="O26" s="69"/>
      <c r="P26" s="69"/>
    </row>
    <row r="27" spans="2:16" ht="15" customHeight="1" x14ac:dyDescent="0.25">
      <c r="B27" s="571">
        <v>2017</v>
      </c>
      <c r="C27" s="345"/>
      <c r="D27" s="20">
        <f t="shared" si="2"/>
        <v>7804.6428571428569</v>
      </c>
      <c r="E27" s="20">
        <f t="shared" si="6"/>
        <v>0</v>
      </c>
      <c r="F27" s="20"/>
      <c r="G27" s="20">
        <f t="shared" si="3"/>
        <v>7.3333333333333339</v>
      </c>
      <c r="H27" s="20">
        <f t="shared" si="3"/>
        <v>8814.4047619047633</v>
      </c>
      <c r="I27" s="20">
        <f t="shared" si="5"/>
        <v>0</v>
      </c>
      <c r="J27" s="347">
        <f t="shared" si="4"/>
        <v>2715</v>
      </c>
      <c r="K27" s="69"/>
      <c r="L27" s="69"/>
      <c r="M27" s="69"/>
      <c r="N27" s="69"/>
      <c r="O27" s="69"/>
      <c r="P27" s="69"/>
    </row>
    <row r="28" spans="2:16" ht="15" customHeight="1" x14ac:dyDescent="0.25">
      <c r="B28" s="571">
        <v>2018</v>
      </c>
      <c r="C28" s="345"/>
      <c r="D28" s="20">
        <f t="shared" si="2"/>
        <v>7875.3571428571431</v>
      </c>
      <c r="E28" s="20">
        <f t="shared" si="6"/>
        <v>0</v>
      </c>
      <c r="F28" s="20"/>
      <c r="G28" s="20">
        <f t="shared" si="3"/>
        <v>6.8809523809523814</v>
      </c>
      <c r="H28" s="20">
        <f t="shared" si="3"/>
        <v>8712.8333333333339</v>
      </c>
      <c r="I28" s="20">
        <f t="shared" si="5"/>
        <v>0</v>
      </c>
      <c r="J28" s="347">
        <f t="shared" si="4"/>
        <v>1419.4761904761906</v>
      </c>
      <c r="K28" s="69"/>
      <c r="L28" s="69"/>
      <c r="M28" s="69"/>
      <c r="N28" s="69"/>
      <c r="O28" s="69"/>
      <c r="P28" s="69"/>
    </row>
    <row r="29" spans="2:16" ht="15" customHeight="1" x14ac:dyDescent="0.25">
      <c r="B29" s="571">
        <v>2019</v>
      </c>
      <c r="C29" s="345"/>
      <c r="D29" s="20">
        <f t="shared" si="2"/>
        <v>8081.4523809523816</v>
      </c>
      <c r="E29" s="20">
        <f>+E56+E81+E106+E132</f>
        <v>0</v>
      </c>
      <c r="F29" s="20"/>
      <c r="G29" s="20">
        <f t="shared" ref="G29:H29" si="7">+G56+G81+G106+G131</f>
        <v>6.5952380952380958</v>
      </c>
      <c r="H29" s="20">
        <f t="shared" si="7"/>
        <v>8774.6904761904771</v>
      </c>
      <c r="I29" s="20">
        <f>+I56+I81+I106+I132</f>
        <v>0</v>
      </c>
      <c r="J29" s="347">
        <f t="shared" si="4"/>
        <v>1580.4047619047617</v>
      </c>
      <c r="K29" s="69"/>
      <c r="L29" s="69"/>
      <c r="M29" s="69"/>
      <c r="N29" s="69"/>
      <c r="O29" s="69"/>
      <c r="P29" s="69"/>
    </row>
    <row r="30" spans="2:16" ht="15" customHeight="1" x14ac:dyDescent="0.25">
      <c r="B30" s="571">
        <v>2020</v>
      </c>
      <c r="C30" s="345"/>
      <c r="D30" s="20">
        <f t="shared" si="2"/>
        <v>5753.333333333333</v>
      </c>
      <c r="E30" s="20">
        <f>+E57+E82+E107+E134</f>
        <v>0</v>
      </c>
      <c r="F30" s="20"/>
      <c r="G30" s="20">
        <f t="shared" ref="G30:H31" si="8">+G57+G82+G107+G132</f>
        <v>7.1190476190476195</v>
      </c>
      <c r="H30" s="20">
        <f t="shared" si="8"/>
        <v>6516.8095238095248</v>
      </c>
      <c r="I30" s="20">
        <f>+I57+I82+I107+I133</f>
        <v>0</v>
      </c>
      <c r="J30" s="347">
        <f t="shared" si="4"/>
        <v>487.61904761904759</v>
      </c>
      <c r="K30" s="69"/>
      <c r="L30" s="69"/>
      <c r="M30" s="69"/>
      <c r="N30" s="69"/>
      <c r="O30" s="69"/>
      <c r="P30" s="69"/>
    </row>
    <row r="31" spans="2:16" ht="15" customHeight="1" x14ac:dyDescent="0.25">
      <c r="B31" s="571">
        <v>2021</v>
      </c>
      <c r="C31" s="345"/>
      <c r="D31" s="20">
        <f t="shared" si="2"/>
        <v>7386.1428571428569</v>
      </c>
      <c r="E31" s="20">
        <f>+E58+E83+E108+E135</f>
        <v>0</v>
      </c>
      <c r="F31" s="20"/>
      <c r="G31" s="20">
        <f t="shared" si="8"/>
        <v>7.0714285714285703</v>
      </c>
      <c r="H31" s="20">
        <f t="shared" si="8"/>
        <v>8171.8095238095239</v>
      </c>
      <c r="I31" s="20">
        <f>+I58+I83+I108+I134</f>
        <v>0</v>
      </c>
      <c r="J31" s="347">
        <f t="shared" si="4"/>
        <v>611.14285714285711</v>
      </c>
      <c r="K31" s="69"/>
      <c r="L31" s="69"/>
      <c r="M31" s="69"/>
      <c r="N31" s="69"/>
      <c r="O31" s="69"/>
      <c r="P31" s="69"/>
    </row>
    <row r="32" spans="2:16" ht="15" customHeight="1" x14ac:dyDescent="0.25">
      <c r="B32" s="572" t="s">
        <v>92</v>
      </c>
      <c r="C32" s="315"/>
      <c r="D32" s="142">
        <f>RATE(-22,,-D31,D9)</f>
        <v>9.0355535388880817E-2</v>
      </c>
      <c r="E32" s="142"/>
      <c r="F32" s="20"/>
      <c r="G32" s="142"/>
      <c r="H32" s="142">
        <f>RATE(-22,,-H31,H9)</f>
        <v>2.9489798996932312E-2</v>
      </c>
      <c r="I32" s="142"/>
      <c r="J32" s="829" t="e">
        <f>RATE(-22,,-J31,J9)</f>
        <v>#NUM!</v>
      </c>
      <c r="K32" s="145"/>
      <c r="L32" s="140"/>
      <c r="M32" s="70"/>
      <c r="N32" s="70"/>
      <c r="O32" s="70"/>
      <c r="P32" s="70"/>
    </row>
    <row r="33" spans="2:16" ht="15" customHeight="1" thickBot="1" x14ac:dyDescent="0.3">
      <c r="B33" s="573"/>
      <c r="C33" s="316"/>
      <c r="D33" s="73"/>
      <c r="E33" s="73"/>
      <c r="F33" s="73"/>
      <c r="G33" s="73"/>
      <c r="H33" s="73"/>
      <c r="I33" s="146"/>
      <c r="J33" s="27"/>
      <c r="K33" s="70"/>
      <c r="L33" s="70"/>
      <c r="M33" s="70"/>
      <c r="N33" s="70"/>
      <c r="O33" s="70"/>
      <c r="P33" s="70"/>
    </row>
    <row r="34" spans="2:16" ht="15" customHeight="1" x14ac:dyDescent="0.25">
      <c r="B34" s="579"/>
      <c r="C34" s="317"/>
      <c r="D34" s="15"/>
      <c r="E34" s="15"/>
      <c r="F34" s="15"/>
      <c r="G34" s="15"/>
      <c r="H34" s="15"/>
      <c r="I34" s="136"/>
      <c r="J34" s="16"/>
      <c r="K34" s="12"/>
      <c r="L34" s="12"/>
      <c r="M34" s="12"/>
      <c r="N34" s="12"/>
      <c r="O34" s="12"/>
      <c r="P34" s="12"/>
    </row>
    <row r="35" spans="2:16" ht="15" customHeight="1" x14ac:dyDescent="0.25">
      <c r="B35" s="570" t="s">
        <v>115</v>
      </c>
      <c r="C35" s="30"/>
      <c r="D35" s="11"/>
      <c r="E35" s="11"/>
      <c r="F35" s="11"/>
      <c r="G35" s="11"/>
      <c r="H35" s="11"/>
      <c r="I35" s="137"/>
      <c r="J35" s="10"/>
      <c r="K35" s="12"/>
      <c r="L35" s="12"/>
      <c r="M35" s="12"/>
      <c r="N35" s="12"/>
      <c r="O35" s="12"/>
      <c r="P35" s="12"/>
    </row>
    <row r="36" spans="2:16" ht="15" customHeight="1" x14ac:dyDescent="0.25">
      <c r="B36" s="575">
        <v>1999</v>
      </c>
      <c r="C36" s="348">
        <f>'C-SH-4A ConsNacDerPet,99-21'!C36/42</f>
        <v>521.09523809523807</v>
      </c>
      <c r="D36" s="349">
        <f>'C-SH-4A ConsNacDerPet,99-21'!D36/42</f>
        <v>244.73809523809524</v>
      </c>
      <c r="E36" s="349"/>
      <c r="F36" s="349">
        <f>'C-SH-4A ConsNacDerPet,99-21'!F36/42</f>
        <v>75.61904761904762</v>
      </c>
      <c r="G36" s="349">
        <f>'C-SH-4A ConsNacDerPet,99-21'!G36/42</f>
        <v>33.142857142857146</v>
      </c>
      <c r="H36" s="349">
        <f>'C-SH-4A ConsNacDerPet,99-21'!H36/42</f>
        <v>1108.8809523809523</v>
      </c>
      <c r="I36" s="350">
        <f>'C-SH-4A ConsNacDerPet,99-21'!I36/42</f>
        <v>180</v>
      </c>
      <c r="J36" s="351">
        <f>'C-SH-4A ConsNacDerPet,99-21'!J36/42</f>
        <v>606.59523809523807</v>
      </c>
      <c r="K36" s="60"/>
      <c r="L36" s="60"/>
      <c r="M36" s="60"/>
      <c r="N36" s="60"/>
      <c r="O36" s="60"/>
      <c r="P36" s="69"/>
    </row>
    <row r="37" spans="2:16" ht="15" customHeight="1" x14ac:dyDescent="0.25">
      <c r="B37" s="575">
        <v>2000</v>
      </c>
      <c r="C37" s="348">
        <f>'C-SH-4A ConsNacDerPet,99-21'!C37/42</f>
        <v>438.09523809523807</v>
      </c>
      <c r="D37" s="349">
        <f>'C-SH-4A ConsNacDerPet,99-21'!D37/42</f>
        <v>320.5</v>
      </c>
      <c r="E37" s="349"/>
      <c r="F37" s="349">
        <f>'C-SH-4A ConsNacDerPet,99-21'!F37/42</f>
        <v>67.19047619047619</v>
      </c>
      <c r="G37" s="349">
        <f>'C-SH-4A ConsNacDerPet,99-21'!G37/42</f>
        <v>27.976190476190474</v>
      </c>
      <c r="H37" s="349">
        <f>'C-SH-4A ConsNacDerPet,99-21'!H37/42</f>
        <v>1014.5714285714286</v>
      </c>
      <c r="I37" s="350">
        <f>'C-SH-4A ConsNacDerPet,99-21'!I37/42</f>
        <v>100</v>
      </c>
      <c r="J37" s="351">
        <f>'C-SH-4A ConsNacDerPet,99-21'!J37/42</f>
        <v>186.95238095238096</v>
      </c>
      <c r="K37" s="60"/>
      <c r="L37" s="60"/>
      <c r="M37" s="60"/>
      <c r="N37" s="60"/>
      <c r="O37" s="60"/>
      <c r="P37" s="69"/>
    </row>
    <row r="38" spans="2:16" ht="15" customHeight="1" x14ac:dyDescent="0.25">
      <c r="B38" s="575">
        <v>2001</v>
      </c>
      <c r="C38" s="348">
        <f>'C-SH-4A ConsNacDerPet,99-21'!C38/42</f>
        <v>277.88095238095241</v>
      </c>
      <c r="D38" s="349">
        <f>'C-SH-4A ConsNacDerPet,99-21'!D38/42</f>
        <v>529.59523809523807</v>
      </c>
      <c r="E38" s="349"/>
      <c r="F38" s="349"/>
      <c r="G38" s="349">
        <f>'C-SH-4A ConsNacDerPet,99-21'!G38/42</f>
        <v>17.5</v>
      </c>
      <c r="H38" s="349">
        <f>'C-SH-4A ConsNacDerPet,99-21'!H38/42</f>
        <v>1021.0238095238095</v>
      </c>
      <c r="I38" s="350">
        <f>'C-SH-4A ConsNacDerPet,99-21'!I38/42</f>
        <v>155</v>
      </c>
      <c r="J38" s="351">
        <f>'C-SH-4A ConsNacDerPet,99-21'!J38/42</f>
        <v>346.92857142857144</v>
      </c>
      <c r="K38" s="60"/>
      <c r="L38" s="60"/>
      <c r="M38" s="60"/>
      <c r="N38" s="60"/>
      <c r="O38" s="60"/>
      <c r="P38" s="69"/>
    </row>
    <row r="39" spans="2:16" ht="15" customHeight="1" x14ac:dyDescent="0.25">
      <c r="B39" s="575">
        <v>2002</v>
      </c>
      <c r="C39" s="348"/>
      <c r="D39" s="349">
        <f>'C-SH-4A ConsNacDerPet,99-21'!D39/42</f>
        <v>838.04761904761904</v>
      </c>
      <c r="E39" s="349"/>
      <c r="F39" s="349"/>
      <c r="G39" s="349">
        <f>'C-SH-4A ConsNacDerPet,99-21'!G39/42</f>
        <v>17.357142857142858</v>
      </c>
      <c r="H39" s="349">
        <f>'C-SH-4A ConsNacDerPet,99-21'!H39/42</f>
        <v>1048.6190476190477</v>
      </c>
      <c r="I39" s="350">
        <f>'C-SH-4A ConsNacDerPet,99-21'!I39/42</f>
        <v>370</v>
      </c>
      <c r="J39" s="351">
        <f>'C-SH-4A ConsNacDerPet,99-21'!J39/42</f>
        <v>542.90476190476193</v>
      </c>
      <c r="K39" s="60"/>
      <c r="L39" s="60"/>
      <c r="M39" s="60"/>
      <c r="N39" s="60"/>
      <c r="O39" s="60"/>
      <c r="P39" s="69"/>
    </row>
    <row r="40" spans="2:16" ht="15" customHeight="1" x14ac:dyDescent="0.25">
      <c r="B40" s="575">
        <v>2003</v>
      </c>
      <c r="C40" s="348"/>
      <c r="D40" s="349">
        <f>'C-SH-4A ConsNacDerPet,99-21'!D40/42</f>
        <v>817.30952380952385</v>
      </c>
      <c r="E40" s="349"/>
      <c r="F40" s="349"/>
      <c r="G40" s="349">
        <f>'C-SH-4A ConsNacDerPet,99-21'!G40/42</f>
        <v>14.357142857142858</v>
      </c>
      <c r="H40" s="349">
        <f>'C-SH-4A ConsNacDerPet,99-21'!H40/42</f>
        <v>1177.9047619047619</v>
      </c>
      <c r="I40" s="350">
        <f>'C-SH-4A ConsNacDerPet,99-21'!I40/42</f>
        <v>252.71428571428572</v>
      </c>
      <c r="J40" s="351">
        <f>'C-SH-4A ConsNacDerPet,99-21'!J40/42</f>
        <v>734.97619047619048</v>
      </c>
      <c r="K40" s="60"/>
      <c r="L40" s="60"/>
      <c r="M40" s="60"/>
      <c r="N40" s="60"/>
      <c r="O40" s="60"/>
      <c r="P40" s="69"/>
    </row>
    <row r="41" spans="2:16" ht="15" customHeight="1" x14ac:dyDescent="0.25">
      <c r="B41" s="575">
        <v>2004</v>
      </c>
      <c r="C41" s="348"/>
      <c r="D41" s="349">
        <f>'C-SH-4A ConsNacDerPet,99-21'!D41/42</f>
        <v>988.14285714285711</v>
      </c>
      <c r="E41" s="349"/>
      <c r="F41" s="349"/>
      <c r="G41" s="349">
        <f>'C-SH-4A ConsNacDerPet,99-21'!G41/42</f>
        <v>14.5</v>
      </c>
      <c r="H41" s="349">
        <f>'C-SH-4A ConsNacDerPet,99-21'!H41/42</f>
        <v>1376.2142857142858</v>
      </c>
      <c r="I41" s="350">
        <f>'C-SH-4A ConsNacDerPet,99-21'!I41/42</f>
        <v>190.95238095238096</v>
      </c>
      <c r="J41" s="351">
        <f>'C-SH-4A ConsNacDerPet,99-21'!J41/42</f>
        <v>738.83333333333337</v>
      </c>
      <c r="K41" s="60"/>
      <c r="L41" s="60"/>
      <c r="M41" s="60"/>
      <c r="N41" s="60"/>
      <c r="O41" s="60"/>
      <c r="P41" s="69"/>
    </row>
    <row r="42" spans="2:16" ht="15" customHeight="1" x14ac:dyDescent="0.25">
      <c r="B42" s="575">
        <v>2005</v>
      </c>
      <c r="C42" s="348"/>
      <c r="D42" s="349">
        <f>'C-SH-4A ConsNacDerPet,99-21'!D42/42</f>
        <v>876.71428571428567</v>
      </c>
      <c r="E42" s="349"/>
      <c r="F42" s="349"/>
      <c r="G42" s="349">
        <f>'C-SH-4A ConsNacDerPet,99-21'!G42/42</f>
        <v>9.9285714285714288</v>
      </c>
      <c r="H42" s="349">
        <f>'C-SH-4A ConsNacDerPet,99-21'!H42/42</f>
        <v>1222.1428571428571</v>
      </c>
      <c r="I42" s="350">
        <f>'C-SH-4A ConsNacDerPet,99-21'!I42/42</f>
        <v>0.35714285714285715</v>
      </c>
      <c r="J42" s="351">
        <f>'C-SH-4A ConsNacDerPet,99-21'!J42/42</f>
        <v>620.42857142857144</v>
      </c>
      <c r="K42" s="60"/>
      <c r="L42" s="60"/>
      <c r="M42" s="60"/>
      <c r="N42" s="60"/>
      <c r="O42" s="60"/>
      <c r="P42" s="69"/>
    </row>
    <row r="43" spans="2:16" ht="15" customHeight="1" x14ac:dyDescent="0.25">
      <c r="B43" s="575">
        <v>2006</v>
      </c>
      <c r="C43" s="348"/>
      <c r="D43" s="349">
        <f>'C-SH-4A ConsNacDerPet,99-21'!D43/42</f>
        <v>875.35714285714289</v>
      </c>
      <c r="E43" s="349"/>
      <c r="F43" s="349"/>
      <c r="G43" s="349">
        <f>'C-SH-4A ConsNacDerPet,99-21'!G43/42</f>
        <v>5.9761904761904763</v>
      </c>
      <c r="H43" s="349">
        <f>'C-SH-4A ConsNacDerPet,99-21'!H43/42</f>
        <v>1225.2380952380952</v>
      </c>
      <c r="I43" s="349">
        <f>'C-SH-4A ConsNacDerPet,99-21'!I43/42</f>
        <v>70.595238095238102</v>
      </c>
      <c r="J43" s="351">
        <f>'C-SH-4A ConsNacDerPet,99-21'!J43/42</f>
        <v>746.16666666666663</v>
      </c>
      <c r="K43" s="60"/>
      <c r="L43" s="60"/>
      <c r="M43" s="60"/>
      <c r="N43" s="60"/>
      <c r="O43" s="60"/>
      <c r="P43" s="69"/>
    </row>
    <row r="44" spans="2:16" ht="15" customHeight="1" x14ac:dyDescent="0.25">
      <c r="B44" s="575">
        <v>2007</v>
      </c>
      <c r="C44" s="348"/>
      <c r="D44" s="349">
        <f>'C-SH-4A ConsNacDerPet,99-21'!D44/42</f>
        <v>960.23809523809518</v>
      </c>
      <c r="E44" s="349"/>
      <c r="F44" s="349"/>
      <c r="G44" s="349">
        <f>'C-SH-4A ConsNacDerPet,99-21'!G44/42</f>
        <v>4.166666666666667</v>
      </c>
      <c r="H44" s="349">
        <f>'C-SH-4A ConsNacDerPet,99-21'!H44/42</f>
        <v>1584.7857142857142</v>
      </c>
      <c r="I44" s="349">
        <f>'C-SH-4A ConsNacDerPet,99-21'!I44/42</f>
        <v>248.88095238095238</v>
      </c>
      <c r="J44" s="351">
        <f>'C-SH-4A ConsNacDerPet,99-21'!J44/42</f>
        <v>848.42857142857144</v>
      </c>
      <c r="K44" s="60"/>
      <c r="L44" s="60"/>
      <c r="M44" s="60"/>
      <c r="N44" s="60"/>
      <c r="O44" s="60"/>
      <c r="P44" s="69"/>
    </row>
    <row r="45" spans="2:16" ht="15" customHeight="1" x14ac:dyDescent="0.25">
      <c r="B45" s="575">
        <v>2008</v>
      </c>
      <c r="C45" s="348"/>
      <c r="D45" s="349">
        <f>'C-SH-4A ConsNacDerPet,99-21'!D45/42</f>
        <v>995.69047619047615</v>
      </c>
      <c r="E45" s="349"/>
      <c r="F45" s="349"/>
      <c r="G45" s="349">
        <f>'C-SH-4A ConsNacDerPet,99-21'!G45/42</f>
        <v>3.0714285714285716</v>
      </c>
      <c r="H45" s="349">
        <f>'C-SH-4A ConsNacDerPet,99-21'!H45/42</f>
        <v>1728.3333333333333</v>
      </c>
      <c r="I45" s="349">
        <f>'C-SH-4A ConsNacDerPet,99-21'!I45/42</f>
        <v>0</v>
      </c>
      <c r="J45" s="351">
        <f>'C-SH-4A ConsNacDerPet,99-21'!J45/42</f>
        <v>576.14285714285711</v>
      </c>
      <c r="K45" s="60"/>
      <c r="L45" s="60"/>
      <c r="M45" s="60"/>
      <c r="N45" s="60"/>
      <c r="O45" s="60"/>
      <c r="P45" s="69"/>
    </row>
    <row r="46" spans="2:16" ht="15" customHeight="1" x14ac:dyDescent="0.25">
      <c r="B46" s="575">
        <v>2009</v>
      </c>
      <c r="C46" s="348"/>
      <c r="D46" s="349">
        <f>'C-SH-4A ConsNacDerPet,99-21'!D46/42</f>
        <v>1151.0952380952381</v>
      </c>
      <c r="E46" s="349"/>
      <c r="F46" s="349"/>
      <c r="G46" s="349">
        <f>'C-SH-4A ConsNacDerPet,99-21'!G46/42</f>
        <v>4.666666666666667</v>
      </c>
      <c r="H46" s="349">
        <f>'C-SH-4A ConsNacDerPet,99-21'!H46/42</f>
        <v>1659.9285714285713</v>
      </c>
      <c r="I46" s="349">
        <f>'C-SH-4A ConsNacDerPet,99-21'!I46/42</f>
        <v>0</v>
      </c>
      <c r="J46" s="351">
        <f>'C-SH-4A ConsNacDerPet,99-21'!J46/42</f>
        <v>470.09523809523807</v>
      </c>
      <c r="K46" s="60"/>
      <c r="L46" s="60"/>
      <c r="M46" s="60"/>
      <c r="N46" s="60"/>
      <c r="O46" s="60"/>
      <c r="P46" s="69"/>
    </row>
    <row r="47" spans="2:16" ht="15" customHeight="1" x14ac:dyDescent="0.25">
      <c r="B47" s="575">
        <v>2010</v>
      </c>
      <c r="C47" s="348"/>
      <c r="D47" s="349">
        <f>'C-SH-4A ConsNacDerPet,99-21'!D47/42</f>
        <v>1203.1428571428571</v>
      </c>
      <c r="E47" s="349"/>
      <c r="F47" s="349"/>
      <c r="G47" s="349">
        <f>'C-SH-4A ConsNacDerPet,99-21'!G47/42</f>
        <v>9.8095238095238102</v>
      </c>
      <c r="H47" s="349">
        <f>'C-SH-4A ConsNacDerPet,99-21'!H47/42</f>
        <v>2178.6666666666665</v>
      </c>
      <c r="I47" s="349">
        <f>'C-SH-4A ConsNacDerPet,99-21'!I47/42</f>
        <v>0</v>
      </c>
      <c r="J47" s="351">
        <f>'C-SH-4A ConsNacDerPet,99-21'!J47/42</f>
        <v>706.71428571428567</v>
      </c>
      <c r="K47" s="60"/>
      <c r="L47" s="60"/>
      <c r="M47" s="60"/>
      <c r="N47" s="60"/>
      <c r="O47" s="60"/>
      <c r="P47" s="69"/>
    </row>
    <row r="48" spans="2:16" ht="15" customHeight="1" x14ac:dyDescent="0.25">
      <c r="B48" s="575">
        <v>2011</v>
      </c>
      <c r="C48" s="348"/>
      <c r="D48" s="349">
        <f>'C-SH-4A ConsNacDerPet,99-21'!D48/42</f>
        <v>1271.8095238095239</v>
      </c>
      <c r="E48" s="349"/>
      <c r="F48" s="349"/>
      <c r="G48" s="349">
        <f>'C-SH-4A ConsNacDerPet,99-21'!G48/42</f>
        <v>12.595238095238095</v>
      </c>
      <c r="H48" s="349">
        <f>'C-SH-4A ConsNacDerPet,99-21'!H48/42</f>
        <v>2195.4761904761904</v>
      </c>
      <c r="I48" s="349">
        <f>'C-SH-4A ConsNacDerPet,99-21'!I48/42</f>
        <v>0</v>
      </c>
      <c r="J48" s="351">
        <f>'C-SH-4A ConsNacDerPet,99-21'!J48/42</f>
        <v>683.23809523809518</v>
      </c>
      <c r="K48" s="60"/>
      <c r="L48" s="60"/>
      <c r="M48" s="60"/>
      <c r="N48" s="60"/>
      <c r="O48" s="60"/>
      <c r="P48" s="69"/>
    </row>
    <row r="49" spans="2:16" ht="15" customHeight="1" x14ac:dyDescent="0.25">
      <c r="B49" s="575">
        <v>2012</v>
      </c>
      <c r="C49" s="348"/>
      <c r="D49" s="349">
        <f>'C-SH-4A ConsNacDerPet,99-21'!D49/42</f>
        <v>1372.6428571428571</v>
      </c>
      <c r="E49" s="349"/>
      <c r="F49" s="349">
        <f>'C-SH-4A ConsNacDerPet,99-21'!F49/42</f>
        <v>0</v>
      </c>
      <c r="G49" s="349">
        <f>'C-SH-4A ConsNacDerPet,99-21'!G49/42</f>
        <v>2.7619047619047619</v>
      </c>
      <c r="H49" s="349">
        <f>'C-SH-4A ConsNacDerPet,99-21'!H49/42</f>
        <v>2336.2380952380954</v>
      </c>
      <c r="I49" s="349">
        <f>'C-SH-4A ConsNacDerPet,99-21'!I49/42</f>
        <v>0</v>
      </c>
      <c r="J49" s="351">
        <f>'C-SH-4A ConsNacDerPet,99-21'!J49/42</f>
        <v>565.71428571428567</v>
      </c>
      <c r="K49" s="60"/>
      <c r="L49" s="60"/>
      <c r="M49" s="60"/>
      <c r="N49" s="60"/>
      <c r="O49" s="60"/>
      <c r="P49" s="69"/>
    </row>
    <row r="50" spans="2:16" ht="15" customHeight="1" x14ac:dyDescent="0.25">
      <c r="B50" s="575">
        <v>2013</v>
      </c>
      <c r="C50" s="348"/>
      <c r="D50" s="349">
        <f>'C-SH-4A ConsNacDerPet,99-21'!D50/42</f>
        <v>1370.6904761904761</v>
      </c>
      <c r="E50" s="349"/>
      <c r="F50" s="349">
        <f>'C-SH-4A ConsNacDerPet,99-21'!F50/42</f>
        <v>0</v>
      </c>
      <c r="G50" s="349">
        <f>'C-SH-4A ConsNacDerPet,99-21'!G50/42</f>
        <v>1.5714285714285714</v>
      </c>
      <c r="H50" s="349">
        <f>'C-SH-4A ConsNacDerPet,99-21'!H50/42</f>
        <v>2243.1190476190477</v>
      </c>
      <c r="I50" s="349">
        <f>'C-SH-4A ConsNacDerPet,99-21'!I50/42</f>
        <v>0</v>
      </c>
      <c r="J50" s="351">
        <f>'C-SH-4A ConsNacDerPet,99-21'!J50/42</f>
        <v>623.35714285714289</v>
      </c>
      <c r="K50" s="60"/>
      <c r="L50" s="60"/>
      <c r="M50" s="60"/>
      <c r="N50" s="60"/>
      <c r="O50" s="60"/>
      <c r="P50" s="69"/>
    </row>
    <row r="51" spans="2:16" ht="15" customHeight="1" x14ac:dyDescent="0.25">
      <c r="B51" s="575">
        <v>2014</v>
      </c>
      <c r="C51" s="348"/>
      <c r="D51" s="349">
        <f>'C-SH-4A ConsNacDerPet,99-21'!D51/42</f>
        <v>598.11904761904759</v>
      </c>
      <c r="E51" s="349">
        <f>'C-SH-4A ConsNacDerPet,99-21'!E51/42</f>
        <v>912.78571428571433</v>
      </c>
      <c r="F51" s="349">
        <f>'C-SH-4A ConsNacDerPet,99-21'!F51/42</f>
        <v>0</v>
      </c>
      <c r="G51" s="349">
        <f>'C-SH-4A ConsNacDerPet,99-21'!G51/42</f>
        <v>2.1666666666666665</v>
      </c>
      <c r="H51" s="349">
        <f>'C-SH-4A ConsNacDerPet,99-21'!H51/42</f>
        <v>2766.2619047619046</v>
      </c>
      <c r="I51" s="349">
        <f>'C-SH-4A ConsNacDerPet,99-21'!I51/42</f>
        <v>0</v>
      </c>
      <c r="J51" s="351">
        <f>'C-SH-4A ConsNacDerPet,99-21'!J51/42</f>
        <v>464.14285714285717</v>
      </c>
      <c r="K51" s="60"/>
      <c r="L51" s="60"/>
      <c r="M51" s="60"/>
      <c r="N51" s="60"/>
      <c r="O51" s="60"/>
      <c r="P51" s="69"/>
    </row>
    <row r="52" spans="2:16" ht="15" customHeight="1" x14ac:dyDescent="0.25">
      <c r="B52" s="575">
        <v>2015</v>
      </c>
      <c r="C52" s="348"/>
      <c r="D52" s="349">
        <f>'C-SH-4A ConsNacDerPet,99-21'!D52/42</f>
        <v>1637.952380952381</v>
      </c>
      <c r="E52" s="349"/>
      <c r="F52" s="349"/>
      <c r="G52" s="349">
        <f>'C-SH-4A ConsNacDerPet,99-21'!G52/42</f>
        <v>1.5238095238095237</v>
      </c>
      <c r="H52" s="349">
        <f>'C-SH-4A ConsNacDerPet,99-21'!H52/42</f>
        <v>2196.1666666666665</v>
      </c>
      <c r="I52" s="350"/>
      <c r="J52" s="351">
        <f>'C-SH-4A ConsNacDerPet,99-21'!J52/42</f>
        <v>570.57142857142856</v>
      </c>
      <c r="K52" s="60"/>
      <c r="L52" s="60"/>
      <c r="M52" s="60"/>
      <c r="N52" s="60"/>
      <c r="O52" s="60"/>
      <c r="P52" s="69"/>
    </row>
    <row r="53" spans="2:16" ht="15" customHeight="1" x14ac:dyDescent="0.25">
      <c r="B53" s="575">
        <v>2016</v>
      </c>
      <c r="C53" s="348"/>
      <c r="D53" s="349">
        <f>'C-SH-4A ConsNacDerPet,99-21'!D53/42</f>
        <v>1805</v>
      </c>
      <c r="E53" s="349"/>
      <c r="F53" s="349"/>
      <c r="G53" s="349">
        <f>'C-SH-4A ConsNacDerPet,99-21'!G53/42</f>
        <v>1.5238095238095237</v>
      </c>
      <c r="H53" s="349">
        <f>'C-SH-4A ConsNacDerPet,99-21'!H53/42</f>
        <v>2101.5238095238096</v>
      </c>
      <c r="I53" s="350"/>
      <c r="J53" s="351">
        <f>'C-SH-4A ConsNacDerPet,99-21'!J53/42</f>
        <v>946.11904761904759</v>
      </c>
      <c r="K53" s="60"/>
      <c r="L53" s="60"/>
      <c r="M53" s="60"/>
      <c r="N53" s="60"/>
      <c r="O53" s="60"/>
      <c r="P53" s="69"/>
    </row>
    <row r="54" spans="2:16" ht="15" customHeight="1" x14ac:dyDescent="0.25">
      <c r="B54" s="575">
        <v>2017</v>
      </c>
      <c r="C54" s="348"/>
      <c r="D54" s="349">
        <f>'C-SH-4A ConsNacDerPet,99-21'!D54/42</f>
        <v>1886.7857142857142</v>
      </c>
      <c r="E54" s="349"/>
      <c r="F54" s="349"/>
      <c r="G54" s="349">
        <f>'C-SH-4A ConsNacDerPet,99-21'!G54/42</f>
        <v>1.8571428571428572</v>
      </c>
      <c r="H54" s="349">
        <f>'C-SH-4A ConsNacDerPet,99-21'!H54/42</f>
        <v>2200.2619047619046</v>
      </c>
      <c r="I54" s="350"/>
      <c r="J54" s="351">
        <f>'C-SH-4A ConsNacDerPet,99-21'!J54/42</f>
        <v>713.14285714285711</v>
      </c>
      <c r="K54" s="60"/>
      <c r="L54" s="60"/>
      <c r="M54" s="60"/>
      <c r="N54" s="60"/>
      <c r="O54" s="60"/>
      <c r="P54" s="69"/>
    </row>
    <row r="55" spans="2:16" ht="15" customHeight="1" x14ac:dyDescent="0.25">
      <c r="B55" s="575">
        <v>2018</v>
      </c>
      <c r="C55" s="348"/>
      <c r="D55" s="349">
        <f>'C-SH-4A ConsNacDerPet,99-21'!D55/42</f>
        <v>1917.2619047619048</v>
      </c>
      <c r="E55" s="349"/>
      <c r="F55" s="349"/>
      <c r="G55" s="349">
        <f>'C-SH-4A ConsNacDerPet,99-21'!G55/42</f>
        <v>1.7380952380952381</v>
      </c>
      <c r="H55" s="349">
        <f>'C-SH-4A ConsNacDerPet,99-21'!H55/42</f>
        <v>2159.7619047619046</v>
      </c>
      <c r="I55" s="350"/>
      <c r="J55" s="351">
        <f>'C-SH-4A ConsNacDerPet,99-21'!J55/42</f>
        <v>451.04761904761904</v>
      </c>
      <c r="K55" s="60"/>
      <c r="L55" s="60"/>
      <c r="M55" s="60"/>
      <c r="N55" s="60"/>
      <c r="O55" s="60"/>
      <c r="P55" s="69"/>
    </row>
    <row r="56" spans="2:16" ht="15" customHeight="1" x14ac:dyDescent="0.25">
      <c r="B56" s="575">
        <v>2019</v>
      </c>
      <c r="C56" s="348"/>
      <c r="D56" s="349">
        <f>'C-SH-4A ConsNacDerPet,99-21'!D56/42</f>
        <v>1971.1428571428571</v>
      </c>
      <c r="E56" s="349"/>
      <c r="F56" s="349"/>
      <c r="G56" s="349">
        <f>'C-SH-4A ConsNacDerPet,99-21'!G56/42</f>
        <v>1.6904761904761905</v>
      </c>
      <c r="H56" s="349">
        <f>'C-SH-4A ConsNacDerPet,99-21'!H56/42</f>
        <v>2282.4285714285716</v>
      </c>
      <c r="I56" s="350"/>
      <c r="J56" s="351">
        <f>'C-SH-4A ConsNacDerPet,99-21'!J56/42</f>
        <v>461.59523809523807</v>
      </c>
      <c r="K56" s="60"/>
      <c r="L56" s="60"/>
      <c r="M56" s="60"/>
      <c r="N56" s="60"/>
      <c r="O56" s="60"/>
      <c r="P56" s="69"/>
    </row>
    <row r="57" spans="2:16" ht="15" customHeight="1" x14ac:dyDescent="0.25">
      <c r="B57" s="575">
        <v>2020</v>
      </c>
      <c r="C57" s="348"/>
      <c r="D57" s="349">
        <f>'C-SH-4A ConsNacDerPet,99-21'!D57/42</f>
        <v>1804.6666666666667</v>
      </c>
      <c r="E57" s="349"/>
      <c r="F57" s="349"/>
      <c r="G57" s="349">
        <f>'C-SH-4A ConsNacDerPet,99-21'!G57/42</f>
        <v>1.5476190476190477</v>
      </c>
      <c r="H57" s="349">
        <f>'C-SH-4A ConsNacDerPet,99-21'!H57/42</f>
        <v>2045.0238095238096</v>
      </c>
      <c r="I57" s="350"/>
      <c r="J57" s="351">
        <f>'C-SH-4A ConsNacDerPet,99-21'!J57/42</f>
        <v>163.47619047619048</v>
      </c>
      <c r="K57" s="60"/>
      <c r="L57" s="60"/>
      <c r="M57" s="60"/>
      <c r="N57" s="60"/>
      <c r="O57" s="60"/>
      <c r="P57" s="69"/>
    </row>
    <row r="58" spans="2:16" ht="15" customHeight="1" x14ac:dyDescent="0.25">
      <c r="B58" s="575">
        <v>2021</v>
      </c>
      <c r="C58" s="348"/>
      <c r="D58" s="349">
        <f>'C-SH-4A ConsNacDerPet,99-21'!D58/42</f>
        <v>1578.9761904761904</v>
      </c>
      <c r="E58" s="349"/>
      <c r="F58" s="349"/>
      <c r="G58" s="349">
        <f>'C-SH-4A ConsNacDerPet,99-21'!G58/42</f>
        <v>2.1666666666666665</v>
      </c>
      <c r="H58" s="349">
        <f>'C-SH-4A ConsNacDerPet,99-21'!H58/42</f>
        <v>1930.952380952381</v>
      </c>
      <c r="I58" s="350"/>
      <c r="J58" s="351">
        <f>'C-SH-4A ConsNacDerPet,99-21'!J58/42</f>
        <v>114</v>
      </c>
      <c r="K58" s="60"/>
      <c r="L58" s="60"/>
      <c r="M58" s="60"/>
      <c r="N58" s="60"/>
      <c r="O58" s="60"/>
      <c r="P58" s="69"/>
    </row>
    <row r="59" spans="2:16" ht="15" customHeight="1" x14ac:dyDescent="0.25">
      <c r="B59" s="577"/>
      <c r="C59" s="348"/>
      <c r="D59" s="349"/>
      <c r="E59" s="349"/>
      <c r="F59" s="349"/>
      <c r="G59" s="349"/>
      <c r="H59" s="349"/>
      <c r="I59" s="350"/>
      <c r="J59" s="351"/>
      <c r="K59" s="60"/>
      <c r="L59" s="60"/>
      <c r="M59" s="60"/>
      <c r="N59" s="60"/>
      <c r="O59" s="60"/>
      <c r="P59" s="69"/>
    </row>
    <row r="60" spans="2:16" ht="15" customHeight="1" x14ac:dyDescent="0.25">
      <c r="B60" s="570" t="s">
        <v>116</v>
      </c>
      <c r="C60" s="348"/>
      <c r="D60" s="349"/>
      <c r="E60" s="349"/>
      <c r="F60" s="349"/>
      <c r="G60" s="349"/>
      <c r="H60" s="349"/>
      <c r="I60" s="350"/>
      <c r="J60" s="351"/>
      <c r="K60" s="60"/>
      <c r="L60" s="60"/>
      <c r="M60" s="60"/>
      <c r="N60" s="60"/>
      <c r="O60" s="60"/>
      <c r="P60" s="69"/>
    </row>
    <row r="61" spans="2:16" ht="15" customHeight="1" x14ac:dyDescent="0.25">
      <c r="B61" s="575">
        <v>1999</v>
      </c>
      <c r="C61" s="348">
        <f>'C-SH-4A ConsNacDerPet,99-21'!C61/42</f>
        <v>510.38095238095241</v>
      </c>
      <c r="D61" s="349">
        <f>'C-SH-4A ConsNacDerPet,99-21'!D61/42</f>
        <v>265.5</v>
      </c>
      <c r="E61" s="349"/>
      <c r="F61" s="349">
        <f>'C-SH-4A ConsNacDerPet,99-21'!F61/42</f>
        <v>79.38095238095238</v>
      </c>
      <c r="G61" s="349">
        <f>'C-SH-4A ConsNacDerPet,99-21'!G61/42</f>
        <v>34.333333333333336</v>
      </c>
      <c r="H61" s="349">
        <f>'C-SH-4A ConsNacDerPet,99-21'!H61/42</f>
        <v>1140.0238095238096</v>
      </c>
      <c r="I61" s="350">
        <f>'C-SH-4A ConsNacDerPet,99-21'!I61/42</f>
        <v>75</v>
      </c>
      <c r="J61" s="351">
        <f>'C-SH-4A ConsNacDerPet,99-21'!J61/42</f>
        <v>516.19047619047615</v>
      </c>
      <c r="K61" s="60"/>
      <c r="L61" s="60"/>
      <c r="M61" s="60"/>
      <c r="N61" s="60"/>
      <c r="O61" s="60"/>
      <c r="P61" s="69"/>
    </row>
    <row r="62" spans="2:16" ht="15" customHeight="1" x14ac:dyDescent="0.25">
      <c r="B62" s="575">
        <v>2000</v>
      </c>
      <c r="C62" s="348">
        <f>'C-SH-4A ConsNacDerPet,99-21'!C62/42</f>
        <v>402.73809523809524</v>
      </c>
      <c r="D62" s="349">
        <f>'C-SH-4A ConsNacDerPet,99-21'!D62/42</f>
        <v>362.73809523809524</v>
      </c>
      <c r="E62" s="349"/>
      <c r="F62" s="349">
        <f>'C-SH-4A ConsNacDerPet,99-21'!F62/42</f>
        <v>70.80952380952381</v>
      </c>
      <c r="G62" s="349">
        <f>'C-SH-4A ConsNacDerPet,99-21'!G62/42</f>
        <v>23.476190476190474</v>
      </c>
      <c r="H62" s="349">
        <f>'C-SH-4A ConsNacDerPet,99-21'!H62/42</f>
        <v>1084.0238095238096</v>
      </c>
      <c r="I62" s="350">
        <f>'C-SH-4A ConsNacDerPet,99-21'!I62/42</f>
        <v>225</v>
      </c>
      <c r="J62" s="351">
        <f>'C-SH-4A ConsNacDerPet,99-21'!J62/42</f>
        <v>189.83333333333334</v>
      </c>
      <c r="K62" s="60"/>
      <c r="L62" s="60"/>
      <c r="M62" s="60"/>
      <c r="N62" s="60"/>
      <c r="O62" s="60"/>
      <c r="P62" s="69"/>
    </row>
    <row r="63" spans="2:16" ht="15" customHeight="1" x14ac:dyDescent="0.25">
      <c r="B63" s="575">
        <v>2001</v>
      </c>
      <c r="C63" s="348">
        <f>'C-SH-4A ConsNacDerPet,99-21'!C63/42</f>
        <v>241.21428571428572</v>
      </c>
      <c r="D63" s="349">
        <f>'C-SH-4A ConsNacDerPet,99-21'!D63/42</f>
        <v>569.52380952380952</v>
      </c>
      <c r="E63" s="349"/>
      <c r="F63" s="349"/>
      <c r="G63" s="349">
        <f>'C-SH-4A ConsNacDerPet,99-21'!G63/42</f>
        <v>19.785714285714285</v>
      </c>
      <c r="H63" s="349">
        <f>'C-SH-4A ConsNacDerPet,99-21'!H63/42</f>
        <v>1103.6190476190477</v>
      </c>
      <c r="I63" s="350">
        <f>'C-SH-4A ConsNacDerPet,99-21'!I63/42</f>
        <v>270</v>
      </c>
      <c r="J63" s="351">
        <f>'C-SH-4A ConsNacDerPet,99-21'!J63/42</f>
        <v>572.90476190476193</v>
      </c>
      <c r="K63" s="60"/>
      <c r="L63" s="60"/>
      <c r="M63" s="60"/>
      <c r="N63" s="60"/>
      <c r="O63" s="60"/>
      <c r="P63" s="69"/>
    </row>
    <row r="64" spans="2:16" ht="15" customHeight="1" x14ac:dyDescent="0.25">
      <c r="B64" s="575">
        <v>2002</v>
      </c>
      <c r="C64" s="348"/>
      <c r="D64" s="349">
        <f>'C-SH-4A ConsNacDerPet,99-21'!D64/42</f>
        <v>814.26190476190482</v>
      </c>
      <c r="E64" s="349"/>
      <c r="F64" s="349"/>
      <c r="G64" s="349">
        <f>'C-SH-4A ConsNacDerPet,99-21'!G64/42</f>
        <v>17.547619047619047</v>
      </c>
      <c r="H64" s="349">
        <f>'C-SH-4A ConsNacDerPet,99-21'!H64/42</f>
        <v>1065.3809523809523</v>
      </c>
      <c r="I64" s="350">
        <f>'C-SH-4A ConsNacDerPet,99-21'!I64/42</f>
        <v>360</v>
      </c>
      <c r="J64" s="351">
        <f>'C-SH-4A ConsNacDerPet,99-21'!J64/42</f>
        <v>411.71428571428572</v>
      </c>
      <c r="K64" s="60"/>
      <c r="L64" s="60"/>
      <c r="M64" s="60"/>
      <c r="N64" s="60"/>
      <c r="O64" s="60"/>
      <c r="P64" s="69"/>
    </row>
    <row r="65" spans="2:16" ht="15" customHeight="1" x14ac:dyDescent="0.25">
      <c r="B65" s="575">
        <v>2003</v>
      </c>
      <c r="C65" s="348"/>
      <c r="D65" s="349">
        <f>'C-SH-4A ConsNacDerPet,99-21'!D65/42</f>
        <v>872.21428571428567</v>
      </c>
      <c r="E65" s="349"/>
      <c r="F65" s="349"/>
      <c r="G65" s="349">
        <f>'C-SH-4A ConsNacDerPet,99-21'!G65/42</f>
        <v>38.928571428571431</v>
      </c>
      <c r="H65" s="349">
        <f>'C-SH-4A ConsNacDerPet,99-21'!H65/42</f>
        <v>1272.4761904761904</v>
      </c>
      <c r="I65" s="350">
        <f>'C-SH-4A ConsNacDerPet,99-21'!I65/42</f>
        <v>250.23809523809524</v>
      </c>
      <c r="J65" s="351">
        <f>'C-SH-4A ConsNacDerPet,99-21'!J65/42</f>
        <v>732.54761904761904</v>
      </c>
      <c r="K65" s="60"/>
      <c r="L65" s="60"/>
      <c r="M65" s="60"/>
      <c r="N65" s="60"/>
      <c r="O65" s="60"/>
      <c r="P65" s="69"/>
    </row>
    <row r="66" spans="2:16" ht="15" customHeight="1" x14ac:dyDescent="0.25">
      <c r="B66" s="575">
        <v>2004</v>
      </c>
      <c r="C66" s="348"/>
      <c r="D66" s="349">
        <f>'C-SH-4A ConsNacDerPet,99-21'!D66/42</f>
        <v>845.21428571428567</v>
      </c>
      <c r="E66" s="349"/>
      <c r="F66" s="349"/>
      <c r="G66" s="349">
        <f>'C-SH-4A ConsNacDerPet,99-21'!G66/42</f>
        <v>14.19047619047619</v>
      </c>
      <c r="H66" s="349">
        <f>'C-SH-4A ConsNacDerPet,99-21'!H66/42</f>
        <v>1283.8571428571429</v>
      </c>
      <c r="I66" s="350">
        <f>'C-SH-4A ConsNacDerPet,99-21'!I66/42</f>
        <v>106.30952380952381</v>
      </c>
      <c r="J66" s="351">
        <f>'C-SH-4A ConsNacDerPet,99-21'!J66/42</f>
        <v>624.85714285714289</v>
      </c>
      <c r="K66" s="60"/>
      <c r="L66" s="60"/>
      <c r="M66" s="60"/>
      <c r="N66" s="60"/>
      <c r="O66" s="60"/>
      <c r="P66" s="69"/>
    </row>
    <row r="67" spans="2:16" ht="15" customHeight="1" x14ac:dyDescent="0.25">
      <c r="B67" s="575">
        <v>2005</v>
      </c>
      <c r="C67" s="348"/>
      <c r="D67" s="349">
        <f>'C-SH-4A ConsNacDerPet,99-21'!D67/42</f>
        <v>883.30952380952385</v>
      </c>
      <c r="E67" s="349"/>
      <c r="F67" s="349"/>
      <c r="G67" s="349">
        <f>'C-SH-4A ConsNacDerPet,99-21'!G67/42</f>
        <v>7.2857142857142856</v>
      </c>
      <c r="H67" s="349">
        <f>'C-SH-4A ConsNacDerPet,99-21'!H67/42</f>
        <v>1239.8095238095239</v>
      </c>
      <c r="I67" s="350">
        <f>'C-SH-4A ConsNacDerPet,99-21'!I67/42</f>
        <v>75</v>
      </c>
      <c r="J67" s="351">
        <f>'C-SH-4A ConsNacDerPet,99-21'!J67/42</f>
        <v>756.57142857142856</v>
      </c>
      <c r="K67" s="60"/>
      <c r="L67" s="60"/>
      <c r="M67" s="60"/>
      <c r="N67" s="60"/>
      <c r="O67" s="60"/>
      <c r="P67" s="69"/>
    </row>
    <row r="68" spans="2:16" ht="15" customHeight="1" x14ac:dyDescent="0.25">
      <c r="B68" s="575">
        <v>2006</v>
      </c>
      <c r="C68" s="348"/>
      <c r="D68" s="349">
        <f>'C-SH-4A ConsNacDerPet,99-21'!D68/42</f>
        <v>843.90476190476193</v>
      </c>
      <c r="E68" s="349"/>
      <c r="F68" s="349"/>
      <c r="G68" s="349">
        <f>'C-SH-4A ConsNacDerPet,99-21'!G68/42</f>
        <v>3.9285714285714284</v>
      </c>
      <c r="H68" s="349">
        <f>'C-SH-4A ConsNacDerPet,99-21'!H68/42</f>
        <v>1207.7619047619048</v>
      </c>
      <c r="I68" s="350">
        <f>'C-SH-4A ConsNacDerPet,99-21'!I68/42</f>
        <v>100.71428571428571</v>
      </c>
      <c r="J68" s="351">
        <f>'C-SH-4A ConsNacDerPet,99-21'!J68/42</f>
        <v>738.16666666666663</v>
      </c>
      <c r="K68" s="60"/>
      <c r="L68" s="60"/>
      <c r="M68" s="60"/>
      <c r="N68" s="60"/>
      <c r="O68" s="60"/>
      <c r="P68" s="69"/>
    </row>
    <row r="69" spans="2:16" ht="15" customHeight="1" x14ac:dyDescent="0.25">
      <c r="B69" s="575">
        <v>2007</v>
      </c>
      <c r="C69" s="348"/>
      <c r="D69" s="349">
        <f>'C-SH-4A ConsNacDerPet,99-21'!D69/42</f>
        <v>941.21428571428567</v>
      </c>
      <c r="E69" s="349"/>
      <c r="F69" s="349"/>
      <c r="G69" s="349">
        <f>'C-SH-4A ConsNacDerPet,99-21'!G69/42</f>
        <v>3.4523809523809526</v>
      </c>
      <c r="H69" s="349">
        <f>'C-SH-4A ConsNacDerPet,99-21'!H69/42</f>
        <v>1700.3571428571429</v>
      </c>
      <c r="I69" s="350">
        <f>'C-SH-4A ConsNacDerPet,99-21'!I69/42</f>
        <v>38.023809523809526</v>
      </c>
      <c r="J69" s="351">
        <f>'C-SH-4A ConsNacDerPet,99-21'!J69/42</f>
        <v>751.02380952380952</v>
      </c>
      <c r="K69" s="60"/>
      <c r="L69" s="60"/>
      <c r="M69" s="60"/>
      <c r="N69" s="60"/>
      <c r="O69" s="60"/>
      <c r="P69" s="69"/>
    </row>
    <row r="70" spans="2:16" ht="15" customHeight="1" x14ac:dyDescent="0.25">
      <c r="B70" s="575">
        <v>2008</v>
      </c>
      <c r="C70" s="348"/>
      <c r="D70" s="349">
        <f>'C-SH-4A ConsNacDerPet,99-21'!D70/42</f>
        <v>982.71428571428567</v>
      </c>
      <c r="E70" s="349"/>
      <c r="F70" s="349"/>
      <c r="G70" s="349">
        <f>'C-SH-4A ConsNacDerPet,99-21'!G70/42</f>
        <v>2.3809523809523809</v>
      </c>
      <c r="H70" s="349">
        <f>'C-SH-4A ConsNacDerPet,99-21'!H70/42</f>
        <v>2000.6904761904761</v>
      </c>
      <c r="I70" s="350">
        <f>'C-SH-4A ConsNacDerPet,99-21'!I70/42</f>
        <v>0</v>
      </c>
      <c r="J70" s="351">
        <f>'C-SH-4A ConsNacDerPet,99-21'!J70/42</f>
        <v>706.16666666666663</v>
      </c>
      <c r="K70" s="60"/>
      <c r="L70" s="60"/>
      <c r="M70" s="60"/>
      <c r="N70" s="60"/>
      <c r="O70" s="60"/>
      <c r="P70" s="69"/>
    </row>
    <row r="71" spans="2:16" ht="15" customHeight="1" x14ac:dyDescent="0.25">
      <c r="B71" s="575">
        <v>2009</v>
      </c>
      <c r="C71" s="348"/>
      <c r="D71" s="349">
        <f>'C-SH-4A ConsNacDerPet,99-21'!D71/42</f>
        <v>1157.1666666666667</v>
      </c>
      <c r="E71" s="349"/>
      <c r="F71" s="349"/>
      <c r="G71" s="349">
        <f>'C-SH-4A ConsNacDerPet,99-21'!G71/42</f>
        <v>4.6428571428571432</v>
      </c>
      <c r="H71" s="349">
        <f>'C-SH-4A ConsNacDerPet,99-21'!H71/42</f>
        <v>1712.2619047619048</v>
      </c>
      <c r="I71" s="350">
        <f>'C-SH-4A ConsNacDerPet,99-21'!I71/42</f>
        <v>0</v>
      </c>
      <c r="J71" s="351">
        <f>'C-SH-4A ConsNacDerPet,99-21'!J71/42</f>
        <v>510.47619047619048</v>
      </c>
      <c r="K71" s="60"/>
      <c r="L71" s="60"/>
      <c r="M71" s="60"/>
      <c r="N71" s="60"/>
      <c r="O71" s="60"/>
      <c r="P71" s="69"/>
    </row>
    <row r="72" spans="2:16" ht="15" customHeight="1" x14ac:dyDescent="0.25">
      <c r="B72" s="575">
        <v>2010</v>
      </c>
      <c r="C72" s="348"/>
      <c r="D72" s="349">
        <f>'C-SH-4A ConsNacDerPet,99-21'!D72/42</f>
        <v>1238.8095238095239</v>
      </c>
      <c r="E72" s="349"/>
      <c r="F72" s="349"/>
      <c r="G72" s="349">
        <f>'C-SH-4A ConsNacDerPet,99-21'!G72/42</f>
        <v>15.238095238095237</v>
      </c>
      <c r="H72" s="349">
        <f>'C-SH-4A ConsNacDerPet,99-21'!H72/42</f>
        <v>2039.7857142857142</v>
      </c>
      <c r="I72" s="350">
        <f>'C-SH-4A ConsNacDerPet,99-21'!I72/42</f>
        <v>0</v>
      </c>
      <c r="J72" s="351">
        <f>'C-SH-4A ConsNacDerPet,99-21'!J72/42</f>
        <v>659.23809523809518</v>
      </c>
      <c r="K72" s="60"/>
      <c r="L72" s="60"/>
      <c r="M72" s="60"/>
      <c r="N72" s="60"/>
      <c r="O72" s="60"/>
      <c r="P72" s="69"/>
    </row>
    <row r="73" spans="2:16" ht="15" customHeight="1" x14ac:dyDescent="0.25">
      <c r="B73" s="575">
        <v>2011</v>
      </c>
      <c r="C73" s="348"/>
      <c r="D73" s="349">
        <f>'C-SH-4A ConsNacDerPet,99-21'!D73/42</f>
        <v>1287.7142857142858</v>
      </c>
      <c r="E73" s="349"/>
      <c r="F73" s="349"/>
      <c r="G73" s="349">
        <f>'C-SH-4A ConsNacDerPet,99-21'!G73/42</f>
        <v>3.7619047619047619</v>
      </c>
      <c r="H73" s="349">
        <f>'C-SH-4A ConsNacDerPet,99-21'!H73/42</f>
        <v>2535.1904761904761</v>
      </c>
      <c r="I73" s="350">
        <f>'C-SH-4A ConsNacDerPet,99-21'!I73/42</f>
        <v>0</v>
      </c>
      <c r="J73" s="351">
        <f>'C-SH-4A ConsNacDerPet,99-21'!J73/42</f>
        <v>804.21428571428567</v>
      </c>
      <c r="K73" s="60"/>
      <c r="L73" s="60"/>
      <c r="M73" s="60"/>
      <c r="N73" s="60"/>
      <c r="O73" s="60"/>
      <c r="P73" s="69"/>
    </row>
    <row r="74" spans="2:16" ht="15" customHeight="1" x14ac:dyDescent="0.25">
      <c r="B74" s="575">
        <v>2012</v>
      </c>
      <c r="C74" s="348"/>
      <c r="D74" s="349">
        <f>'C-SH-4A ConsNacDerPet,99-21'!D74/42</f>
        <v>1377.6428571428571</v>
      </c>
      <c r="E74" s="349"/>
      <c r="F74" s="349"/>
      <c r="G74" s="349">
        <f>'C-SH-4A ConsNacDerPet,99-21'!G74/42</f>
        <v>2.5952380952380953</v>
      </c>
      <c r="H74" s="349">
        <f>'C-SH-4A ConsNacDerPet,99-21'!H74/42</f>
        <v>2160.6428571428573</v>
      </c>
      <c r="I74" s="350">
        <f>'C-SH-4A ConsNacDerPet,99-21'!I74/42</f>
        <v>0</v>
      </c>
      <c r="J74" s="351">
        <f>'C-SH-4A ConsNacDerPet,99-21'!J74/42</f>
        <v>801.57142857142856</v>
      </c>
      <c r="K74" s="60"/>
      <c r="L74" s="60"/>
      <c r="M74" s="60"/>
      <c r="N74" s="60"/>
      <c r="O74" s="60"/>
      <c r="P74" s="69"/>
    </row>
    <row r="75" spans="2:16" ht="15" customHeight="1" x14ac:dyDescent="0.25">
      <c r="B75" s="575">
        <v>2013</v>
      </c>
      <c r="C75" s="348"/>
      <c r="D75" s="349">
        <f>'C-SH-4A ConsNacDerPet,99-21'!D75/42</f>
        <v>1428.5714285714287</v>
      </c>
      <c r="E75" s="349"/>
      <c r="F75" s="349"/>
      <c r="G75" s="349">
        <f>'C-SH-4A ConsNacDerPet,99-21'!G75/42</f>
        <v>1.9285714285714286</v>
      </c>
      <c r="H75" s="349">
        <f>'C-SH-4A ConsNacDerPet,99-21'!H75/42</f>
        <v>2466.8571428571427</v>
      </c>
      <c r="I75" s="350">
        <f>'C-SH-4A ConsNacDerPet,99-21'!I75/42</f>
        <v>0</v>
      </c>
      <c r="J75" s="351">
        <f>'C-SH-4A ConsNacDerPet,99-21'!J75/42</f>
        <v>704.71428571428567</v>
      </c>
      <c r="K75" s="60"/>
      <c r="L75" s="60"/>
      <c r="M75" s="60"/>
      <c r="N75" s="60"/>
      <c r="O75" s="60"/>
      <c r="P75" s="69"/>
    </row>
    <row r="76" spans="2:16" ht="15" customHeight="1" x14ac:dyDescent="0.25">
      <c r="B76" s="575">
        <v>2014</v>
      </c>
      <c r="C76" s="348"/>
      <c r="D76" s="349">
        <f>'C-SH-4A ConsNacDerPet,99-21'!D76/42</f>
        <v>108.5</v>
      </c>
      <c r="E76" s="349">
        <f>'C-SH-4A ConsNacDerPet,99-21'!E76/42</f>
        <v>1438.2142857142858</v>
      </c>
      <c r="F76" s="349"/>
      <c r="G76" s="349">
        <f>'C-SH-4A ConsNacDerPet,99-21'!G76/42</f>
        <v>1.7142857142857142</v>
      </c>
      <c r="H76" s="349">
        <f>'C-SH-4A ConsNacDerPet,99-21'!H76/42</f>
        <v>3113.7857142857142</v>
      </c>
      <c r="I76" s="350">
        <f>'C-SH-4A ConsNacDerPet,99-21'!I76/42</f>
        <v>0</v>
      </c>
      <c r="J76" s="351">
        <f>'C-SH-4A ConsNacDerPet,99-21'!J76/42</f>
        <v>255.14285714285714</v>
      </c>
      <c r="K76" s="60"/>
      <c r="L76" s="60"/>
      <c r="M76" s="60"/>
      <c r="N76" s="60"/>
      <c r="O76" s="60"/>
      <c r="P76" s="69"/>
    </row>
    <row r="77" spans="2:16" ht="15" customHeight="1" x14ac:dyDescent="0.25">
      <c r="B77" s="575">
        <v>2015</v>
      </c>
      <c r="C77" s="348"/>
      <c r="D77" s="349">
        <f>'C-SH-4A ConsNacDerPet,99-21'!D77/42</f>
        <v>1683.3095238095239</v>
      </c>
      <c r="E77" s="349">
        <f>'C-SH-4A ConsNacDerPet,99-21'!E77/42</f>
        <v>0</v>
      </c>
      <c r="F77" s="349"/>
      <c r="G77" s="349">
        <f>'C-SH-4A ConsNacDerPet,99-21'!G77/42</f>
        <v>1.6190476190476191</v>
      </c>
      <c r="H77" s="349">
        <f>'C-SH-4A ConsNacDerPet,99-21'!H77/42</f>
        <v>2127.6428571428573</v>
      </c>
      <c r="I77" s="350">
        <f>'C-SH-4A ConsNacDerPet,99-21'!I77/42</f>
        <v>0</v>
      </c>
      <c r="J77" s="351">
        <f>'C-SH-4A ConsNacDerPet,99-21'!J77/42</f>
        <v>780.83333333333337</v>
      </c>
      <c r="K77" s="60"/>
      <c r="L77" s="60"/>
      <c r="M77" s="60"/>
      <c r="N77" s="60"/>
      <c r="O77" s="60"/>
      <c r="P77" s="69"/>
    </row>
    <row r="78" spans="2:16" ht="15" customHeight="1" x14ac:dyDescent="0.25">
      <c r="B78" s="575">
        <v>2016</v>
      </c>
      <c r="C78" s="348"/>
      <c r="D78" s="349">
        <f>'C-SH-4A ConsNacDerPet,99-21'!D78/42</f>
        <v>1815.8333333333333</v>
      </c>
      <c r="E78" s="349">
        <f>'C-SH-4A ConsNacDerPet,99-21'!E78/42</f>
        <v>0</v>
      </c>
      <c r="F78" s="349"/>
      <c r="G78" s="349">
        <f>'C-SH-4A ConsNacDerPet,99-21'!G78/42</f>
        <v>1.6666666666666667</v>
      </c>
      <c r="H78" s="349">
        <f>'C-SH-4A ConsNacDerPet,99-21'!H78/42</f>
        <v>2187.6428571428573</v>
      </c>
      <c r="I78" s="350">
        <f>'C-SH-4A ConsNacDerPet,99-21'!I78/42</f>
        <v>0</v>
      </c>
      <c r="J78" s="351">
        <f>'C-SH-4A ConsNacDerPet,99-21'!J78/42</f>
        <v>1071.952380952381</v>
      </c>
      <c r="K78" s="60"/>
      <c r="L78" s="60"/>
      <c r="M78" s="60"/>
      <c r="N78" s="60"/>
      <c r="O78" s="60"/>
      <c r="P78" s="69"/>
    </row>
    <row r="79" spans="2:16" ht="15" customHeight="1" x14ac:dyDescent="0.25">
      <c r="B79" s="575">
        <v>2017</v>
      </c>
      <c r="C79" s="348"/>
      <c r="D79" s="349">
        <f>'C-SH-4A ConsNacDerPet,99-21'!D79/42</f>
        <v>1973.1190476190477</v>
      </c>
      <c r="E79" s="349">
        <f>'C-SH-4A ConsNacDerPet,99-21'!E79/42</f>
        <v>0</v>
      </c>
      <c r="F79" s="349"/>
      <c r="G79" s="349">
        <f>'C-SH-4A ConsNacDerPet,99-21'!G79/42</f>
        <v>1.8571428571428572</v>
      </c>
      <c r="H79" s="349">
        <f>'C-SH-4A ConsNacDerPet,99-21'!H79/42</f>
        <v>2284.5714285714284</v>
      </c>
      <c r="I79" s="350">
        <f>'C-SH-4A ConsNacDerPet,99-21'!I79/42</f>
        <v>0</v>
      </c>
      <c r="J79" s="351">
        <f>'C-SH-4A ConsNacDerPet,99-21'!J79/42</f>
        <v>806.83333333333337</v>
      </c>
      <c r="K79" s="60"/>
      <c r="L79" s="60"/>
      <c r="M79" s="60"/>
      <c r="N79" s="60"/>
      <c r="O79" s="60"/>
      <c r="P79" s="69"/>
    </row>
    <row r="80" spans="2:16" ht="15" customHeight="1" x14ac:dyDescent="0.25">
      <c r="B80" s="575">
        <v>2018</v>
      </c>
      <c r="C80" s="348"/>
      <c r="D80" s="349">
        <f>'C-SH-4A ConsNacDerPet,99-21'!D80/42</f>
        <v>1985.2619047619048</v>
      </c>
      <c r="E80" s="349">
        <f>'C-SH-4A ConsNacDerPet,99-21'!E80/42</f>
        <v>0</v>
      </c>
      <c r="F80" s="349"/>
      <c r="G80" s="349">
        <f>'C-SH-4A ConsNacDerPet,99-21'!G80/42</f>
        <v>1.6666666666666667</v>
      </c>
      <c r="H80" s="349">
        <f>'C-SH-4A ConsNacDerPet,99-21'!H80/42</f>
        <v>2185.8333333333335</v>
      </c>
      <c r="I80" s="350">
        <f>'C-SH-4A ConsNacDerPet,99-21'!I80/42</f>
        <v>0</v>
      </c>
      <c r="J80" s="351">
        <f>'C-SH-4A ConsNacDerPet,99-21'!J80/42</f>
        <v>574.80952380952385</v>
      </c>
      <c r="K80" s="60"/>
      <c r="L80" s="60"/>
      <c r="M80" s="60"/>
      <c r="N80" s="60"/>
      <c r="O80" s="60"/>
      <c r="P80" s="69"/>
    </row>
    <row r="81" spans="2:16" ht="15" customHeight="1" x14ac:dyDescent="0.25">
      <c r="B81" s="575">
        <v>2019</v>
      </c>
      <c r="C81" s="348"/>
      <c r="D81" s="349">
        <f>'C-SH-4A ConsNacDerPet,99-21'!D81/42</f>
        <v>2007.952380952381</v>
      </c>
      <c r="E81" s="349">
        <f>'C-SH-4A ConsNacDerPet,99-21'!E81/42</f>
        <v>0</v>
      </c>
      <c r="F81" s="349"/>
      <c r="G81" s="349">
        <f>'C-SH-4A ConsNacDerPet,99-21'!G81/42</f>
        <v>1.5238095238095237</v>
      </c>
      <c r="H81" s="349">
        <f>'C-SH-4A ConsNacDerPet,99-21'!H81/42</f>
        <v>2211.5476190476193</v>
      </c>
      <c r="I81" s="350">
        <f>'C-SH-4A ConsNacDerPet,99-21'!I81/42</f>
        <v>0</v>
      </c>
      <c r="J81" s="351">
        <f>'C-SH-4A ConsNacDerPet,99-21'!J81/42</f>
        <v>550.09523809523807</v>
      </c>
      <c r="K81" s="60"/>
      <c r="L81" s="60"/>
      <c r="M81" s="60"/>
      <c r="N81" s="60"/>
      <c r="O81" s="60"/>
      <c r="P81" s="69"/>
    </row>
    <row r="82" spans="2:16" ht="15" customHeight="1" x14ac:dyDescent="0.25">
      <c r="B82" s="575">
        <v>2020</v>
      </c>
      <c r="C82" s="348"/>
      <c r="D82" s="349">
        <f>'C-SH-4A ConsNacDerPet,99-21'!D82/42</f>
        <v>925.95238095238096</v>
      </c>
      <c r="E82" s="349">
        <f>'C-SH-4A ConsNacDerPet,99-21'!E82/42</f>
        <v>0</v>
      </c>
      <c r="F82" s="349"/>
      <c r="G82" s="349">
        <f>'C-SH-4A ConsNacDerPet,99-21'!G82/42</f>
        <v>1.3809523809523809</v>
      </c>
      <c r="H82" s="349">
        <f>'C-SH-4A ConsNacDerPet,99-21'!H82/42</f>
        <v>1149.3095238095239</v>
      </c>
      <c r="I82" s="350">
        <f>'C-SH-4A ConsNacDerPet,99-21'!I82/42</f>
        <v>0</v>
      </c>
      <c r="J82" s="351">
        <f>'C-SH-4A ConsNacDerPet,99-21'!J82/42</f>
        <v>206.95238095238096</v>
      </c>
      <c r="K82" s="60"/>
      <c r="L82" s="60"/>
      <c r="M82" s="60"/>
      <c r="N82" s="60"/>
      <c r="O82" s="60"/>
      <c r="P82" s="69"/>
    </row>
    <row r="83" spans="2:16" ht="15" customHeight="1" x14ac:dyDescent="0.25">
      <c r="B83" s="575">
        <v>2021</v>
      </c>
      <c r="C83" s="348"/>
      <c r="D83" s="349">
        <f>'C-SH-4A ConsNacDerPet,99-21'!D83/42</f>
        <v>1877.452380952381</v>
      </c>
      <c r="E83" s="349">
        <f>'C-SH-4A ConsNacDerPet,99-21'!E83/42</f>
        <v>0</v>
      </c>
      <c r="F83" s="349"/>
      <c r="G83" s="349">
        <f>'C-SH-4A ConsNacDerPet,99-21'!G83/42</f>
        <v>2.0238095238095237</v>
      </c>
      <c r="H83" s="349">
        <f>'C-SH-4A ConsNacDerPet,99-21'!H83/42</f>
        <v>2064.6666666666665</v>
      </c>
      <c r="I83" s="350">
        <f>'C-SH-4A ConsNacDerPet,99-21'!I83/42</f>
        <v>0</v>
      </c>
      <c r="J83" s="351">
        <f>'C-SH-4A ConsNacDerPet,99-21'!J83/42</f>
        <v>112.4047619047619</v>
      </c>
      <c r="K83" s="60"/>
      <c r="L83" s="60"/>
      <c r="M83" s="60"/>
      <c r="N83" s="60"/>
      <c r="O83" s="60"/>
      <c r="P83" s="69"/>
    </row>
    <row r="84" spans="2:16" ht="15" customHeight="1" x14ac:dyDescent="0.25">
      <c r="B84" s="577"/>
      <c r="C84" s="348"/>
      <c r="D84" s="349"/>
      <c r="E84" s="349"/>
      <c r="F84" s="349"/>
      <c r="G84" s="349"/>
      <c r="H84" s="349"/>
      <c r="I84" s="350"/>
      <c r="J84" s="351"/>
      <c r="K84" s="60"/>
      <c r="L84" s="60"/>
      <c r="M84" s="60"/>
      <c r="N84" s="60"/>
      <c r="O84" s="60"/>
      <c r="P84" s="69"/>
    </row>
    <row r="85" spans="2:16" ht="15" customHeight="1" x14ac:dyDescent="0.25">
      <c r="B85" s="570" t="s">
        <v>117</v>
      </c>
      <c r="C85" s="348"/>
      <c r="D85" s="349"/>
      <c r="E85" s="349"/>
      <c r="F85" s="349"/>
      <c r="G85" s="349"/>
      <c r="H85" s="349"/>
      <c r="I85" s="350"/>
      <c r="J85" s="351"/>
      <c r="K85" s="60"/>
      <c r="L85" s="60"/>
      <c r="M85" s="60"/>
      <c r="N85" s="60"/>
      <c r="O85" s="60"/>
      <c r="P85" s="69"/>
    </row>
    <row r="86" spans="2:16" ht="15" customHeight="1" x14ac:dyDescent="0.25">
      <c r="B86" s="575">
        <v>1999</v>
      </c>
      <c r="C86" s="348">
        <f>'C-SH-4A ConsNacDerPet,99-21'!C86/42</f>
        <v>491.26190476190476</v>
      </c>
      <c r="D86" s="349">
        <f>'C-SH-4A ConsNacDerPet,99-21'!D86/42</f>
        <v>286.47619047619048</v>
      </c>
      <c r="E86" s="349"/>
      <c r="F86" s="349">
        <f>'C-SH-4A ConsNacDerPet,99-21'!F86/42</f>
        <v>74.69047619047619</v>
      </c>
      <c r="G86" s="349">
        <f>'C-SH-4A ConsNacDerPet,99-21'!G86/42</f>
        <v>31.11904761904762</v>
      </c>
      <c r="H86" s="349">
        <f>'C-SH-4A ConsNacDerPet,99-21'!H86/42</f>
        <v>1065</v>
      </c>
      <c r="I86" s="350">
        <f>'C-SH-4A ConsNacDerPet,99-21'!I86/42</f>
        <v>75</v>
      </c>
      <c r="J86" s="351">
        <f>'C-SH-4A ConsNacDerPet,99-21'!J86/42</f>
        <v>660.85714285714289</v>
      </c>
      <c r="K86" s="60"/>
      <c r="L86" s="60"/>
      <c r="M86" s="60"/>
      <c r="N86" s="60"/>
      <c r="O86" s="60"/>
      <c r="P86" s="69"/>
    </row>
    <row r="87" spans="2:16" ht="15" customHeight="1" x14ac:dyDescent="0.25">
      <c r="B87" s="575">
        <v>2000</v>
      </c>
      <c r="C87" s="348">
        <f>'C-SH-4A ConsNacDerPet,99-21'!C87/42</f>
        <v>353.59523809523807</v>
      </c>
      <c r="D87" s="349">
        <f>'C-SH-4A ConsNacDerPet,99-21'!D87/42</f>
        <v>404.40476190476193</v>
      </c>
      <c r="E87" s="349"/>
      <c r="F87" s="349">
        <f>'C-SH-4A ConsNacDerPet,99-21'!F87/42</f>
        <v>60.38095238095238</v>
      </c>
      <c r="G87" s="349">
        <f>'C-SH-4A ConsNacDerPet,99-21'!G87/42</f>
        <v>19.476190476190474</v>
      </c>
      <c r="H87" s="349">
        <f>'C-SH-4A ConsNacDerPet,99-21'!H87/42</f>
        <v>1037.0952380952381</v>
      </c>
      <c r="I87" s="350">
        <f>'C-SH-4A ConsNacDerPet,99-21'!I87/42</f>
        <v>105</v>
      </c>
      <c r="J87" s="351">
        <f>'C-SH-4A ConsNacDerPet,99-21'!J87/42</f>
        <v>145.92857142857142</v>
      </c>
      <c r="K87" s="60"/>
      <c r="L87" s="60"/>
      <c r="M87" s="60"/>
      <c r="N87" s="60"/>
      <c r="O87" s="60"/>
      <c r="P87" s="69"/>
    </row>
    <row r="88" spans="2:16" ht="15" customHeight="1" x14ac:dyDescent="0.25">
      <c r="B88" s="575">
        <v>2001</v>
      </c>
      <c r="C88" s="348">
        <f>'C-SH-4A ConsNacDerPet,99-21'!C88/42</f>
        <v>144.54761904761904</v>
      </c>
      <c r="D88" s="349">
        <f>'C-SH-4A ConsNacDerPet,99-21'!D88/42</f>
        <v>669.19047619047615</v>
      </c>
      <c r="E88" s="349"/>
      <c r="F88" s="349"/>
      <c r="G88" s="349">
        <f>'C-SH-4A ConsNacDerPet,99-21'!G88/42</f>
        <v>17.928571428571427</v>
      </c>
      <c r="H88" s="349">
        <f>'C-SH-4A ConsNacDerPet,99-21'!H88/42</f>
        <v>1052.5952380952381</v>
      </c>
      <c r="I88" s="350">
        <f>'C-SH-4A ConsNacDerPet,99-21'!I88/42</f>
        <v>350</v>
      </c>
      <c r="J88" s="351">
        <f>'C-SH-4A ConsNacDerPet,99-21'!J88/42</f>
        <v>447.78571428571428</v>
      </c>
      <c r="K88" s="60"/>
      <c r="L88" s="60"/>
      <c r="M88" s="60"/>
      <c r="N88" s="60"/>
      <c r="O88" s="60"/>
      <c r="P88" s="69"/>
    </row>
    <row r="89" spans="2:16" ht="15" customHeight="1" x14ac:dyDescent="0.25">
      <c r="B89" s="575">
        <v>2002</v>
      </c>
      <c r="C89" s="348"/>
      <c r="D89" s="349">
        <f>'C-SH-4A ConsNacDerPet,99-21'!D89/42</f>
        <v>840.95238095238096</v>
      </c>
      <c r="E89" s="349"/>
      <c r="F89" s="349"/>
      <c r="G89" s="349">
        <f>'C-SH-4A ConsNacDerPet,99-21'!G89/42</f>
        <v>21.738095238095237</v>
      </c>
      <c r="H89" s="349">
        <f>'C-SH-4A ConsNacDerPet,99-21'!H89/42</f>
        <v>1074.1666666666667</v>
      </c>
      <c r="I89" s="350">
        <f>'C-SH-4A ConsNacDerPet,99-21'!I89/42</f>
        <v>310</v>
      </c>
      <c r="J89" s="351">
        <f>'C-SH-4A ConsNacDerPet,99-21'!J89/42</f>
        <v>363.97619047619048</v>
      </c>
      <c r="K89" s="60"/>
      <c r="L89" s="60"/>
      <c r="M89" s="60"/>
      <c r="N89" s="60"/>
      <c r="O89" s="60"/>
      <c r="P89" s="69"/>
    </row>
    <row r="90" spans="2:16" ht="15" customHeight="1" x14ac:dyDescent="0.25">
      <c r="B90" s="575">
        <v>2003</v>
      </c>
      <c r="C90" s="348"/>
      <c r="D90" s="349">
        <f>'C-SH-4A ConsNacDerPet,99-21'!D90/42</f>
        <v>836.21428571428567</v>
      </c>
      <c r="E90" s="349"/>
      <c r="F90" s="349"/>
      <c r="G90" s="349">
        <f>'C-SH-4A ConsNacDerPet,99-21'!G90/42</f>
        <v>12.738095238095237</v>
      </c>
      <c r="H90" s="349">
        <f>'C-SH-4A ConsNacDerPet,99-21'!H90/42</f>
        <v>1184.6904761904761</v>
      </c>
      <c r="I90" s="350">
        <f>'C-SH-4A ConsNacDerPet,99-21'!I90/42</f>
        <v>301</v>
      </c>
      <c r="J90" s="351">
        <f>'C-SH-4A ConsNacDerPet,99-21'!J90/42</f>
        <v>662.45238095238096</v>
      </c>
      <c r="K90" s="60"/>
      <c r="L90" s="60"/>
      <c r="M90" s="60"/>
      <c r="N90" s="60"/>
      <c r="O90" s="60"/>
      <c r="P90" s="69"/>
    </row>
    <row r="91" spans="2:16" ht="15" customHeight="1" x14ac:dyDescent="0.25">
      <c r="B91" s="575">
        <v>2004</v>
      </c>
      <c r="C91" s="348"/>
      <c r="D91" s="349">
        <f>'C-SH-4A ConsNacDerPet,99-21'!D91/42</f>
        <v>900.97619047619048</v>
      </c>
      <c r="E91" s="349"/>
      <c r="F91" s="349"/>
      <c r="G91" s="349">
        <f>'C-SH-4A ConsNacDerPet,99-21'!G91/42</f>
        <v>9.9523809523809526</v>
      </c>
      <c r="H91" s="349">
        <f>'C-SH-4A ConsNacDerPet,99-21'!H91/42</f>
        <v>1216.3333333333333</v>
      </c>
      <c r="I91" s="350">
        <f>'C-SH-4A ConsNacDerPet,99-21'!I91/42</f>
        <v>63.61904761904762</v>
      </c>
      <c r="J91" s="351">
        <f>'C-SH-4A ConsNacDerPet,99-21'!J91/42</f>
        <v>611.16666666666663</v>
      </c>
      <c r="K91" s="60"/>
      <c r="L91" s="60"/>
      <c r="M91" s="60"/>
      <c r="N91" s="60"/>
      <c r="O91" s="60"/>
      <c r="P91" s="69"/>
    </row>
    <row r="92" spans="2:16" ht="15" customHeight="1" x14ac:dyDescent="0.25">
      <c r="B92" s="575">
        <v>2005</v>
      </c>
      <c r="C92" s="348"/>
      <c r="D92" s="349">
        <f>'C-SH-4A ConsNacDerPet,99-21'!D92/42</f>
        <v>855.26190476190482</v>
      </c>
      <c r="E92" s="349"/>
      <c r="F92" s="349"/>
      <c r="G92" s="349">
        <f>'C-SH-4A ConsNacDerPet,99-21'!G92/42</f>
        <v>5.5</v>
      </c>
      <c r="H92" s="349">
        <f>'C-SH-4A ConsNacDerPet,99-21'!H92/42</f>
        <v>1149.5714285714287</v>
      </c>
      <c r="I92" s="350">
        <f>'C-SH-4A ConsNacDerPet,99-21'!I92/42</f>
        <v>65.142857142857139</v>
      </c>
      <c r="J92" s="351">
        <f>'C-SH-4A ConsNacDerPet,99-21'!J92/42</f>
        <v>720.09523809523807</v>
      </c>
      <c r="K92" s="60"/>
      <c r="L92" s="60"/>
      <c r="M92" s="60"/>
      <c r="N92" s="60"/>
      <c r="O92" s="60"/>
      <c r="P92" s="69"/>
    </row>
    <row r="93" spans="2:16" ht="15" customHeight="1" x14ac:dyDescent="0.25">
      <c r="B93" s="575">
        <v>2006</v>
      </c>
      <c r="C93" s="348"/>
      <c r="D93" s="349">
        <f>'C-SH-4A ConsNacDerPet,99-21'!D93/42</f>
        <v>869.23809523809518</v>
      </c>
      <c r="E93" s="349"/>
      <c r="F93" s="349"/>
      <c r="G93" s="349">
        <f>'C-SH-4A ConsNacDerPet,99-21'!G93/42</f>
        <v>4.4761904761904763</v>
      </c>
      <c r="H93" s="349">
        <f>'C-SH-4A ConsNacDerPet,99-21'!H93/42</f>
        <v>1181.0238095238096</v>
      </c>
      <c r="I93" s="350">
        <f>'C-SH-4A ConsNacDerPet,99-21'!I93/42</f>
        <v>45</v>
      </c>
      <c r="J93" s="351">
        <f>'C-SH-4A ConsNacDerPet,99-21'!J93/42</f>
        <v>718.07142857142856</v>
      </c>
      <c r="K93" s="60"/>
      <c r="L93" s="60"/>
      <c r="M93" s="60"/>
      <c r="N93" s="60"/>
      <c r="O93" s="60"/>
      <c r="P93" s="69"/>
    </row>
    <row r="94" spans="2:16" ht="15" customHeight="1" x14ac:dyDescent="0.25">
      <c r="B94" s="575">
        <v>2007</v>
      </c>
      <c r="C94" s="348"/>
      <c r="D94" s="349">
        <f>'C-SH-4A ConsNacDerPet,99-21'!D94/42</f>
        <v>966.61904761904759</v>
      </c>
      <c r="E94" s="349"/>
      <c r="F94" s="349"/>
      <c r="G94" s="349">
        <f>'C-SH-4A ConsNacDerPet,99-21'!G94/42</f>
        <v>3.2380952380952381</v>
      </c>
      <c r="H94" s="349">
        <f>'C-SH-4A ConsNacDerPet,99-21'!H94/42</f>
        <v>1575.5952380952381</v>
      </c>
      <c r="I94" s="350">
        <f>'C-SH-4A ConsNacDerPet,99-21'!I94/42</f>
        <v>0</v>
      </c>
      <c r="J94" s="351">
        <f>'C-SH-4A ConsNacDerPet,99-21'!J94/42</f>
        <v>766.26190476190482</v>
      </c>
      <c r="K94" s="60"/>
      <c r="L94" s="60"/>
      <c r="M94" s="60"/>
      <c r="N94" s="60"/>
      <c r="O94" s="60"/>
      <c r="P94" s="69"/>
    </row>
    <row r="95" spans="2:16" ht="15" customHeight="1" x14ac:dyDescent="0.25">
      <c r="B95" s="575">
        <v>2008</v>
      </c>
      <c r="C95" s="348"/>
      <c r="D95" s="349">
        <f>'C-SH-4A ConsNacDerPet,99-21'!D95/42</f>
        <v>991.33333333333337</v>
      </c>
      <c r="E95" s="349"/>
      <c r="F95" s="349"/>
      <c r="G95" s="349">
        <f>'C-SH-4A ConsNacDerPet,99-21'!G95/42</f>
        <v>2.8809523809523809</v>
      </c>
      <c r="H95" s="349">
        <f>'C-SH-4A ConsNacDerPet,99-21'!H95/42</f>
        <v>1547.9761904761904</v>
      </c>
      <c r="I95" s="350">
        <f>'C-SH-4A ConsNacDerPet,99-21'!I95/42</f>
        <v>0</v>
      </c>
      <c r="J95" s="351">
        <f>'C-SH-4A ConsNacDerPet,99-21'!J95/42</f>
        <v>692.38095238095241</v>
      </c>
      <c r="K95" s="60"/>
      <c r="L95" s="60"/>
      <c r="M95" s="60"/>
      <c r="N95" s="60"/>
      <c r="O95" s="60"/>
      <c r="P95" s="69"/>
    </row>
    <row r="96" spans="2:16" ht="15" customHeight="1" x14ac:dyDescent="0.25">
      <c r="B96" s="575">
        <v>2009</v>
      </c>
      <c r="C96" s="348"/>
      <c r="D96" s="349">
        <f>'C-SH-4A ConsNacDerPet,99-21'!D96/42</f>
        <v>1175.3333333333333</v>
      </c>
      <c r="E96" s="349"/>
      <c r="F96" s="349"/>
      <c r="G96" s="349">
        <f>'C-SH-4A ConsNacDerPet,99-21'!G96/42</f>
        <v>2.9285714285714284</v>
      </c>
      <c r="H96" s="349">
        <f>'C-SH-4A ConsNacDerPet,99-21'!H96/42</f>
        <v>1696.4047619047619</v>
      </c>
      <c r="I96" s="350">
        <f>'C-SH-4A ConsNacDerPet,99-21'!I96/42</f>
        <v>0</v>
      </c>
      <c r="J96" s="351">
        <f>'C-SH-4A ConsNacDerPet,99-21'!J96/42</f>
        <v>454.85714285714283</v>
      </c>
      <c r="K96" s="60"/>
      <c r="L96" s="60"/>
      <c r="M96" s="60"/>
      <c r="N96" s="60"/>
      <c r="O96" s="60"/>
      <c r="P96" s="69"/>
    </row>
    <row r="97" spans="2:16" ht="15" customHeight="1" x14ac:dyDescent="0.25">
      <c r="B97" s="575">
        <v>2010</v>
      </c>
      <c r="C97" s="348"/>
      <c r="D97" s="349">
        <f>'C-SH-4A ConsNacDerPet,99-21'!D97/42</f>
        <v>1273.8809523809523</v>
      </c>
      <c r="E97" s="349"/>
      <c r="F97" s="349"/>
      <c r="G97" s="349">
        <f>'C-SH-4A ConsNacDerPet,99-21'!G97/42</f>
        <v>17.404761904761905</v>
      </c>
      <c r="H97" s="349">
        <f>'C-SH-4A ConsNacDerPet,99-21'!H97/42</f>
        <v>1855.7142857142858</v>
      </c>
      <c r="I97" s="350">
        <f>'C-SH-4A ConsNacDerPet,99-21'!I97/42</f>
        <v>0</v>
      </c>
      <c r="J97" s="351">
        <f>'C-SH-4A ConsNacDerPet,99-21'!J97/42</f>
        <v>607.97619047619048</v>
      </c>
      <c r="K97" s="60"/>
      <c r="L97" s="60"/>
      <c r="M97" s="60"/>
      <c r="N97" s="60"/>
      <c r="O97" s="60"/>
      <c r="P97" s="69"/>
    </row>
    <row r="98" spans="2:16" ht="15" customHeight="1" x14ac:dyDescent="0.25">
      <c r="B98" s="575">
        <v>2011</v>
      </c>
      <c r="C98" s="348"/>
      <c r="D98" s="349">
        <f>'C-SH-4A ConsNacDerPet,99-21'!D98/42</f>
        <v>1327.1190476190477</v>
      </c>
      <c r="E98" s="349"/>
      <c r="F98" s="349"/>
      <c r="G98" s="349">
        <f>'C-SH-4A ConsNacDerPet,99-21'!G98/42</f>
        <v>3.1190476190476191</v>
      </c>
      <c r="H98" s="349">
        <f>'C-SH-4A ConsNacDerPet,99-21'!H98/42</f>
        <v>2321.9523809523807</v>
      </c>
      <c r="I98" s="350">
        <f>'C-SH-4A ConsNacDerPet,99-21'!I98/42</f>
        <v>0</v>
      </c>
      <c r="J98" s="351">
        <f>'C-SH-4A ConsNacDerPet,99-21'!J98/42</f>
        <v>762.07142857142856</v>
      </c>
      <c r="K98" s="60"/>
      <c r="L98" s="60"/>
      <c r="M98" s="60"/>
      <c r="N98" s="60"/>
      <c r="O98" s="60"/>
      <c r="P98" s="69"/>
    </row>
    <row r="99" spans="2:16" ht="15" customHeight="1" x14ac:dyDescent="0.25">
      <c r="B99" s="575">
        <v>2012</v>
      </c>
      <c r="C99" s="348"/>
      <c r="D99" s="349">
        <f>'C-SH-4A ConsNacDerPet,99-21'!D99/42</f>
        <v>1400.1904761904761</v>
      </c>
      <c r="E99" s="349"/>
      <c r="F99" s="349"/>
      <c r="G99" s="349">
        <f>'C-SH-4A ConsNacDerPet,99-21'!G99/42</f>
        <v>2.4761904761904763</v>
      </c>
      <c r="H99" s="349">
        <f>'C-SH-4A ConsNacDerPet,99-21'!H99/42</f>
        <v>2015.1428571428571</v>
      </c>
      <c r="I99" s="350">
        <f>'C-SH-4A ConsNacDerPet,99-21'!I99/42</f>
        <v>0</v>
      </c>
      <c r="J99" s="351">
        <f>'C-SH-4A ConsNacDerPet,99-21'!J99/42</f>
        <v>791.92857142857144</v>
      </c>
      <c r="K99" s="60"/>
      <c r="L99" s="60"/>
      <c r="M99" s="60"/>
      <c r="N99" s="60"/>
      <c r="O99" s="60"/>
      <c r="P99" s="69"/>
    </row>
    <row r="100" spans="2:16" ht="15" customHeight="1" x14ac:dyDescent="0.25">
      <c r="B100" s="575">
        <v>2013</v>
      </c>
      <c r="C100" s="348"/>
      <c r="D100" s="349">
        <f>'C-SH-4A ConsNacDerPet,99-21'!D100/42</f>
        <v>1163.5</v>
      </c>
      <c r="E100" s="349">
        <f>'C-SH-4A ConsNacDerPet,99-21'!E100/42</f>
        <v>303.16666666666669</v>
      </c>
      <c r="F100" s="349"/>
      <c r="G100" s="349">
        <f>'C-SH-4A ConsNacDerPet,99-21'!G100/42</f>
        <v>1.7857142857142858</v>
      </c>
      <c r="H100" s="349">
        <f>'C-SH-4A ConsNacDerPet,99-21'!H100/42</f>
        <v>2103.3571428571427</v>
      </c>
      <c r="I100" s="350">
        <f>'C-SH-4A ConsNacDerPet,99-21'!I100/42</f>
        <v>0</v>
      </c>
      <c r="J100" s="351">
        <f>'C-SH-4A ConsNacDerPet,99-21'!J100/42</f>
        <v>580.66666666666663</v>
      </c>
      <c r="K100" s="60"/>
      <c r="L100" s="60"/>
      <c r="M100" s="60"/>
      <c r="N100" s="60"/>
      <c r="O100" s="60"/>
      <c r="P100" s="69"/>
    </row>
    <row r="101" spans="2:16" ht="15" customHeight="1" x14ac:dyDescent="0.25">
      <c r="B101" s="575">
        <v>2014</v>
      </c>
      <c r="C101" s="348"/>
      <c r="D101" s="349">
        <f>'C-SH-4A ConsNacDerPet,99-21'!D101/42</f>
        <v>688.92857142857144</v>
      </c>
      <c r="E101" s="349">
        <f>'C-SH-4A ConsNacDerPet,99-21'!E101/42</f>
        <v>873.73809523809518</v>
      </c>
      <c r="F101" s="349"/>
      <c r="G101" s="349">
        <f>'C-SH-4A ConsNacDerPet,99-21'!G101/42</f>
        <v>1.8809523809523809</v>
      </c>
      <c r="H101" s="349">
        <f>'C-SH-4A ConsNacDerPet,99-21'!H101/42</f>
        <v>2362.8809523809523</v>
      </c>
      <c r="I101" s="350">
        <f>'C-SH-4A ConsNacDerPet,99-21'!I101/42</f>
        <v>0</v>
      </c>
      <c r="J101" s="351">
        <f>'C-SH-4A ConsNacDerPet,99-21'!J101/42</f>
        <v>280.1904761904762</v>
      </c>
      <c r="K101" s="60"/>
      <c r="L101" s="60"/>
      <c r="M101" s="60"/>
      <c r="N101" s="60"/>
      <c r="O101" s="60"/>
      <c r="P101" s="69"/>
    </row>
    <row r="102" spans="2:16" ht="15" customHeight="1" x14ac:dyDescent="0.25">
      <c r="B102" s="575">
        <v>2015</v>
      </c>
      <c r="C102" s="348"/>
      <c r="D102" s="349">
        <f>'C-SH-4A ConsNacDerPet,99-21'!D102/42</f>
        <v>1735.047619047619</v>
      </c>
      <c r="E102" s="349">
        <f>'C-SH-4A ConsNacDerPet,99-21'!E102/42</f>
        <v>0</v>
      </c>
      <c r="F102" s="349"/>
      <c r="G102" s="349">
        <f>'C-SH-4A ConsNacDerPet,99-21'!G102/42</f>
        <v>1.2619047619047619</v>
      </c>
      <c r="H102" s="349">
        <f>'C-SH-4A ConsNacDerPet,99-21'!H102/42</f>
        <v>2080.5</v>
      </c>
      <c r="I102" s="350">
        <f>'C-SH-4A ConsNacDerPet,99-21'!I102/42</f>
        <v>0</v>
      </c>
      <c r="J102" s="351">
        <f>'C-SH-4A ConsNacDerPet,99-21'!J102/42</f>
        <v>604.90476190476193</v>
      </c>
      <c r="K102" s="60"/>
      <c r="L102" s="60"/>
      <c r="M102" s="60"/>
      <c r="N102" s="60"/>
      <c r="O102" s="60"/>
      <c r="P102" s="69"/>
    </row>
    <row r="103" spans="2:16" ht="15" customHeight="1" x14ac:dyDescent="0.25">
      <c r="B103" s="575">
        <v>2016</v>
      </c>
      <c r="C103" s="348"/>
      <c r="D103" s="349">
        <f>'C-SH-4A ConsNacDerPet,99-21'!D103/42</f>
        <v>1886.952380952381</v>
      </c>
      <c r="E103" s="349">
        <f>'C-SH-4A ConsNacDerPet,99-21'!E103/42</f>
        <v>0</v>
      </c>
      <c r="F103" s="349"/>
      <c r="G103" s="349">
        <f>'C-SH-4A ConsNacDerPet,99-21'!G103/42</f>
        <v>2.0714285714285716</v>
      </c>
      <c r="H103" s="349">
        <f>'C-SH-4A ConsNacDerPet,99-21'!H103/42</f>
        <v>2077.5476190476193</v>
      </c>
      <c r="I103" s="350">
        <f>'C-SH-4A ConsNacDerPet,99-21'!I103/42</f>
        <v>0</v>
      </c>
      <c r="J103" s="351">
        <f>'C-SH-4A ConsNacDerPet,99-21'!J103/42</f>
        <v>768.83333333333337</v>
      </c>
      <c r="K103" s="60"/>
      <c r="L103" s="60"/>
      <c r="M103" s="60"/>
      <c r="N103" s="60"/>
      <c r="O103" s="60"/>
      <c r="P103" s="69"/>
    </row>
    <row r="104" spans="2:16" ht="15" customHeight="1" x14ac:dyDescent="0.25">
      <c r="B104" s="575">
        <v>2017</v>
      </c>
      <c r="C104" s="348"/>
      <c r="D104" s="349">
        <f>'C-SH-4A ConsNacDerPet,99-21'!D104/42</f>
        <v>1968.5952380952381</v>
      </c>
      <c r="E104" s="349">
        <f>'C-SH-4A ConsNacDerPet,99-21'!E104/42</f>
        <v>0</v>
      </c>
      <c r="F104" s="349"/>
      <c r="G104" s="349">
        <f>'C-SH-4A ConsNacDerPet,99-21'!G104/42</f>
        <v>1.7619047619047619</v>
      </c>
      <c r="H104" s="349">
        <f>'C-SH-4A ConsNacDerPet,99-21'!H104/42</f>
        <v>2256.6428571428573</v>
      </c>
      <c r="I104" s="350">
        <f>'C-SH-4A ConsNacDerPet,99-21'!I104/42</f>
        <v>0</v>
      </c>
      <c r="J104" s="351">
        <f>'C-SH-4A ConsNacDerPet,99-21'!J104/42</f>
        <v>838.95238095238096</v>
      </c>
      <c r="K104" s="60"/>
      <c r="L104" s="60"/>
      <c r="M104" s="60"/>
      <c r="N104" s="60"/>
      <c r="O104" s="60"/>
      <c r="P104" s="69"/>
    </row>
    <row r="105" spans="2:16" ht="15" customHeight="1" x14ac:dyDescent="0.25">
      <c r="B105" s="575">
        <v>2018</v>
      </c>
      <c r="C105" s="348"/>
      <c r="D105" s="349">
        <f>'C-SH-4A ConsNacDerPet,99-21'!D105/42</f>
        <v>1959.1428571428571</v>
      </c>
      <c r="E105" s="349">
        <f>'C-SH-4A ConsNacDerPet,99-21'!E105/42</f>
        <v>0</v>
      </c>
      <c r="F105" s="349"/>
      <c r="G105" s="349">
        <f>'C-SH-4A ConsNacDerPet,99-21'!G105/42</f>
        <v>1.8333333333333333</v>
      </c>
      <c r="H105" s="349">
        <f>'C-SH-4A ConsNacDerPet,99-21'!H105/42</f>
        <v>2195</v>
      </c>
      <c r="I105" s="350">
        <f>'C-SH-4A ConsNacDerPet,99-21'!I105/42</f>
        <v>0</v>
      </c>
      <c r="J105" s="351">
        <f>'C-SH-4A ConsNacDerPet,99-21'!J105/42</f>
        <v>204.21428571428572</v>
      </c>
      <c r="K105" s="60"/>
      <c r="L105" s="60"/>
      <c r="M105" s="60"/>
      <c r="N105" s="60"/>
      <c r="O105" s="60"/>
      <c r="P105" s="69"/>
    </row>
    <row r="106" spans="2:16" ht="15" customHeight="1" x14ac:dyDescent="0.25">
      <c r="B106" s="575">
        <v>2019</v>
      </c>
      <c r="C106" s="348"/>
      <c r="D106" s="349">
        <f>'C-SH-4A ConsNacDerPet,99-21'!D106/42</f>
        <v>2031.8809523809523</v>
      </c>
      <c r="E106" s="349">
        <f>'C-SH-4A ConsNacDerPet,99-21'!E106/42</f>
        <v>0</v>
      </c>
      <c r="F106" s="349"/>
      <c r="G106" s="349">
        <f>'C-SH-4A ConsNacDerPet,99-21'!G106/42</f>
        <v>1.6428571428571428</v>
      </c>
      <c r="H106" s="349">
        <f>'C-SH-4A ConsNacDerPet,99-21'!H106/42</f>
        <v>2163.2619047619046</v>
      </c>
      <c r="I106" s="350">
        <f>'C-SH-4A ConsNacDerPet,99-21'!I106/42</f>
        <v>0</v>
      </c>
      <c r="J106" s="351">
        <f>'C-SH-4A ConsNacDerPet,99-21'!J106/42</f>
        <v>406.57142857142856</v>
      </c>
      <c r="K106" s="60"/>
      <c r="L106" s="60"/>
      <c r="M106" s="60"/>
      <c r="N106" s="60"/>
      <c r="O106" s="60"/>
      <c r="P106" s="69"/>
    </row>
    <row r="107" spans="2:16" ht="15" customHeight="1" x14ac:dyDescent="0.25">
      <c r="B107" s="575">
        <v>2020</v>
      </c>
      <c r="C107" s="348"/>
      <c r="D107" s="349">
        <f>'C-SH-4A ConsNacDerPet,99-21'!D107/42</f>
        <v>1314.3809523809523</v>
      </c>
      <c r="E107" s="349">
        <f>'C-SH-4A ConsNacDerPet,99-21'!E107/42</f>
        <v>0</v>
      </c>
      <c r="F107" s="349"/>
      <c r="G107" s="349">
        <f>'C-SH-4A ConsNacDerPet,99-21'!G107/42</f>
        <v>2.2142857142857144</v>
      </c>
      <c r="H107" s="349">
        <f>'C-SH-4A ConsNacDerPet,99-21'!H107/42</f>
        <v>1509.5</v>
      </c>
      <c r="I107" s="350">
        <f>'C-SH-4A ConsNacDerPet,99-21'!I107/42</f>
        <v>0</v>
      </c>
      <c r="J107" s="351">
        <f>'C-SH-4A ConsNacDerPet,99-21'!J107/42</f>
        <v>63.30952380952381</v>
      </c>
      <c r="K107" s="60"/>
      <c r="L107" s="60"/>
      <c r="M107" s="60"/>
      <c r="N107" s="60"/>
      <c r="O107" s="60"/>
      <c r="P107" s="69"/>
    </row>
    <row r="108" spans="2:16" ht="15" customHeight="1" x14ac:dyDescent="0.25">
      <c r="B108" s="575">
        <v>2021</v>
      </c>
      <c r="C108" s="348"/>
      <c r="D108" s="349">
        <f>'C-SH-4A ConsNacDerPet,99-21'!D108/42</f>
        <v>1909.0952380952381</v>
      </c>
      <c r="E108" s="349">
        <f>'C-SH-4A ConsNacDerPet,99-21'!E108/42</f>
        <v>0</v>
      </c>
      <c r="F108" s="349"/>
      <c r="G108" s="349">
        <f>'C-SH-4A ConsNacDerPet,99-21'!G108/42</f>
        <v>1.8095238095238095</v>
      </c>
      <c r="H108" s="349">
        <f>'C-SH-4A ConsNacDerPet,99-21'!H108/42</f>
        <v>2045.6190476190477</v>
      </c>
      <c r="I108" s="350">
        <f>'C-SH-4A ConsNacDerPet,99-21'!I108/42</f>
        <v>0</v>
      </c>
      <c r="J108" s="351">
        <f>'C-SH-4A ConsNacDerPet,99-21'!J108/42</f>
        <v>134.73809523809524</v>
      </c>
      <c r="K108" s="60"/>
      <c r="L108" s="60"/>
      <c r="M108" s="60"/>
      <c r="N108" s="60"/>
      <c r="O108" s="60"/>
      <c r="P108" s="69"/>
    </row>
    <row r="109" spans="2:16" ht="15" customHeight="1" x14ac:dyDescent="0.25">
      <c r="B109" s="577"/>
      <c r="C109" s="348"/>
      <c r="D109" s="349"/>
      <c r="E109" s="349"/>
      <c r="F109" s="349"/>
      <c r="G109" s="349"/>
      <c r="H109" s="349"/>
      <c r="I109" s="350"/>
      <c r="J109" s="351"/>
      <c r="K109" s="60"/>
      <c r="L109" s="60"/>
      <c r="M109" s="60"/>
      <c r="N109" s="60"/>
      <c r="O109" s="60"/>
      <c r="P109" s="69"/>
    </row>
    <row r="110" spans="2:16" ht="15" customHeight="1" x14ac:dyDescent="0.25">
      <c r="B110" s="570" t="s">
        <v>118</v>
      </c>
      <c r="C110" s="348"/>
      <c r="D110" s="349"/>
      <c r="E110" s="349"/>
      <c r="F110" s="349"/>
      <c r="G110" s="349"/>
      <c r="H110" s="349"/>
      <c r="I110" s="350"/>
      <c r="J110" s="351"/>
      <c r="K110" s="60"/>
      <c r="L110" s="60"/>
      <c r="M110" s="60"/>
      <c r="N110" s="60"/>
      <c r="O110" s="60"/>
      <c r="P110" s="69"/>
    </row>
    <row r="111" spans="2:16" ht="15" customHeight="1" x14ac:dyDescent="0.25">
      <c r="B111" s="575">
        <v>1999</v>
      </c>
      <c r="C111" s="348">
        <f>'C-SH-4A ConsNacDerPet,99-21'!C111/42</f>
        <v>475.61904761904759</v>
      </c>
      <c r="D111" s="349">
        <f>'C-SH-4A ConsNacDerPet,99-21'!D111/42</f>
        <v>304.61904761904759</v>
      </c>
      <c r="E111" s="349"/>
      <c r="F111" s="349">
        <f>'C-SH-4A ConsNacDerPet,99-21'!F111/42</f>
        <v>69.80952380952381</v>
      </c>
      <c r="G111" s="349">
        <f>'C-SH-4A ConsNacDerPet,99-21'!G111/42</f>
        <v>31.19047619047619</v>
      </c>
      <c r="H111" s="349">
        <f>'C-SH-4A ConsNacDerPet,99-21'!H111/42</f>
        <v>997.64285714285711</v>
      </c>
      <c r="I111" s="350">
        <f>'C-SH-4A ConsNacDerPet,99-21'!I111/42</f>
        <v>31.476190476190474</v>
      </c>
      <c r="J111" s="351">
        <f>'C-SH-4A ConsNacDerPet,99-21'!J111/42</f>
        <v>163.26190476190476</v>
      </c>
      <c r="K111" s="60"/>
      <c r="L111" s="60"/>
      <c r="M111" s="60"/>
      <c r="N111" s="60"/>
      <c r="O111" s="60"/>
      <c r="P111" s="69"/>
    </row>
    <row r="112" spans="2:16" ht="15" customHeight="1" x14ac:dyDescent="0.25">
      <c r="B112" s="576">
        <v>2000</v>
      </c>
      <c r="C112" s="352">
        <f>'C-SH-4A ConsNacDerPet,99-21'!C112/42</f>
        <v>322.59523809523807</v>
      </c>
      <c r="D112" s="353">
        <f>'C-SH-4A ConsNacDerPet,99-21'!D112/42</f>
        <v>451.64285714285717</v>
      </c>
      <c r="E112" s="353"/>
      <c r="F112" s="353">
        <f>'C-SH-4A ConsNacDerPet,99-21'!F112/42</f>
        <v>57.166666666666664</v>
      </c>
      <c r="G112" s="353">
        <f>'C-SH-4A ConsNacDerPet,99-21'!G112/42</f>
        <v>18.11904761904762</v>
      </c>
      <c r="H112" s="353">
        <f>'C-SH-4A ConsNacDerPet,99-21'!H112/42</f>
        <v>965.02380952380952</v>
      </c>
      <c r="I112" s="354">
        <f>'C-SH-4A ConsNacDerPet,99-21'!I112/42</f>
        <v>45</v>
      </c>
      <c r="J112" s="355">
        <f>'C-SH-4A ConsNacDerPet,99-21'!J112/42</f>
        <v>267.57142857142856</v>
      </c>
      <c r="K112" s="60"/>
      <c r="L112" s="60"/>
      <c r="M112" s="60"/>
      <c r="N112" s="60"/>
      <c r="O112" s="60"/>
      <c r="P112" s="69"/>
    </row>
    <row r="113" spans="2:16" ht="15" customHeight="1" x14ac:dyDescent="0.25">
      <c r="B113" s="576">
        <v>2001</v>
      </c>
      <c r="C113" s="352">
        <f>'C-SH-4A ConsNacDerPet,99-21'!C113/42</f>
        <v>77.261904761904759</v>
      </c>
      <c r="D113" s="353">
        <f>'C-SH-4A ConsNacDerPet,99-21'!D113/42</f>
        <v>775.78571428571433</v>
      </c>
      <c r="E113" s="353"/>
      <c r="F113" s="353"/>
      <c r="G113" s="353">
        <f>'C-SH-4A ConsNacDerPet,99-21'!G113/42</f>
        <v>17.166666666666668</v>
      </c>
      <c r="H113" s="353">
        <f>'C-SH-4A ConsNacDerPet,99-21'!H113/42</f>
        <v>994.66666666666663</v>
      </c>
      <c r="I113" s="354">
        <f>'C-SH-4A ConsNacDerPet,99-21'!I113/42</f>
        <v>290</v>
      </c>
      <c r="J113" s="355">
        <f>'C-SH-4A ConsNacDerPet,99-21'!J113/42</f>
        <v>383.59523809523807</v>
      </c>
      <c r="K113" s="60"/>
      <c r="L113" s="60"/>
      <c r="M113" s="60"/>
      <c r="N113" s="60"/>
      <c r="O113" s="60"/>
      <c r="P113" s="69"/>
    </row>
    <row r="114" spans="2:16" ht="15" customHeight="1" x14ac:dyDescent="0.25">
      <c r="B114" s="575">
        <v>2002</v>
      </c>
      <c r="C114" s="348"/>
      <c r="D114" s="349">
        <f>'C-SH-4A ConsNacDerPet,99-21'!D114/42</f>
        <v>859.52380952380952</v>
      </c>
      <c r="E114" s="349"/>
      <c r="F114" s="349"/>
      <c r="G114" s="349">
        <f>'C-SH-4A ConsNacDerPet,99-21'!G114/42</f>
        <v>20.095238095238095</v>
      </c>
      <c r="H114" s="349">
        <f>'C-SH-4A ConsNacDerPet,99-21'!H114/42</f>
        <v>1101.9761904761904</v>
      </c>
      <c r="I114" s="350">
        <f>'C-SH-4A ConsNacDerPet,99-21'!I114/42</f>
        <v>145.16666666666666</v>
      </c>
      <c r="J114" s="351">
        <f>'C-SH-4A ConsNacDerPet,99-21'!J114/42</f>
        <v>400.76190476190476</v>
      </c>
      <c r="K114" s="60"/>
      <c r="L114" s="60"/>
      <c r="M114" s="60"/>
      <c r="N114" s="60"/>
      <c r="O114" s="60"/>
      <c r="P114" s="69"/>
    </row>
    <row r="115" spans="2:16" ht="15" customHeight="1" x14ac:dyDescent="0.25">
      <c r="B115" s="578">
        <v>2003</v>
      </c>
      <c r="C115" s="356"/>
      <c r="D115" s="357">
        <f>'C-SH-4A ConsNacDerPet,99-21'!D115/42</f>
        <v>905.30952380952385</v>
      </c>
      <c r="E115" s="357"/>
      <c r="F115" s="357"/>
      <c r="G115" s="357">
        <f>'C-SH-4A ConsNacDerPet,99-21'!G115/42</f>
        <v>15.095238095238095</v>
      </c>
      <c r="H115" s="357">
        <f>'C-SH-4A ConsNacDerPet,99-21'!H115/42</f>
        <v>1193.8571428571429</v>
      </c>
      <c r="I115" s="358">
        <f>'C-SH-4A ConsNacDerPet,99-21'!I115/42</f>
        <v>260.04761904761904</v>
      </c>
      <c r="J115" s="359">
        <f>'C-SH-4A ConsNacDerPet,99-21'!J115/42</f>
        <v>599.66666666666663</v>
      </c>
      <c r="K115" s="60"/>
      <c r="L115" s="60"/>
      <c r="M115" s="60"/>
      <c r="N115" s="60"/>
      <c r="O115" s="60"/>
      <c r="P115" s="69"/>
    </row>
    <row r="116" spans="2:16" ht="15" customHeight="1" x14ac:dyDescent="0.25">
      <c r="B116" s="576">
        <v>2004</v>
      </c>
      <c r="C116" s="352"/>
      <c r="D116" s="353">
        <f>'C-SH-4A ConsNacDerPet,99-21'!D116/42</f>
        <v>888.54761904761904</v>
      </c>
      <c r="E116" s="353"/>
      <c r="F116" s="353"/>
      <c r="G116" s="353">
        <f>'C-SH-4A ConsNacDerPet,99-21'!G116/42</f>
        <v>10.857142857142858</v>
      </c>
      <c r="H116" s="353">
        <f>'C-SH-4A ConsNacDerPet,99-21'!H116/42</f>
        <v>1178.6428571428571</v>
      </c>
      <c r="I116" s="354">
        <f>'C-SH-4A ConsNacDerPet,99-21'!I116/42</f>
        <v>25</v>
      </c>
      <c r="J116" s="355">
        <f>'C-SH-4A ConsNacDerPet,99-21'!J116/42</f>
        <v>485.33333333333331</v>
      </c>
      <c r="K116" s="60"/>
      <c r="L116" s="60"/>
      <c r="M116" s="60"/>
      <c r="N116" s="60"/>
      <c r="O116" s="60"/>
      <c r="P116" s="69"/>
    </row>
    <row r="117" spans="2:16" ht="15" customHeight="1" x14ac:dyDescent="0.25">
      <c r="B117" s="580">
        <v>2005</v>
      </c>
      <c r="C117" s="361"/>
      <c r="D117" s="349">
        <f>'C-SH-4A ConsNacDerPet,99-21'!D117/42</f>
        <v>863.28571428571433</v>
      </c>
      <c r="E117" s="349"/>
      <c r="F117" s="349"/>
      <c r="G117" s="349">
        <f>'C-SH-4A ConsNacDerPet,99-21'!G117/42</f>
        <v>6.5952380952380949</v>
      </c>
      <c r="H117" s="349">
        <f>'C-SH-4A ConsNacDerPet,99-21'!H117/42</f>
        <v>1169.6428571428571</v>
      </c>
      <c r="I117" s="349">
        <f>'C-SH-4A ConsNacDerPet,99-21'!I117/42</f>
        <v>12.452380952380953</v>
      </c>
      <c r="J117" s="437">
        <f>'C-SH-4A ConsNacDerPet,99-21'!J117/42</f>
        <v>732.09523809523807</v>
      </c>
      <c r="K117" s="60"/>
      <c r="L117" s="60"/>
      <c r="M117" s="60"/>
      <c r="N117" s="60"/>
      <c r="O117" s="60"/>
      <c r="P117" s="69"/>
    </row>
    <row r="118" spans="2:16" ht="15" customHeight="1" x14ac:dyDescent="0.25">
      <c r="B118" s="581">
        <v>2006</v>
      </c>
      <c r="C118" s="449"/>
      <c r="D118" s="349">
        <f>'C-SH-4A ConsNacDerPet,99-21'!D118/42</f>
        <v>942.69047619047615</v>
      </c>
      <c r="E118" s="349"/>
      <c r="F118" s="349"/>
      <c r="G118" s="349">
        <f>'C-SH-4A ConsNacDerPet,99-21'!G118/42</f>
        <v>5.2619047619047619</v>
      </c>
      <c r="H118" s="349">
        <f>'C-SH-4A ConsNacDerPet,99-21'!H118/42</f>
        <v>1172.3095238095239</v>
      </c>
      <c r="I118" s="349">
        <f>'C-SH-4A ConsNacDerPet,99-21'!I118/42</f>
        <v>5</v>
      </c>
      <c r="J118" s="437">
        <f>'C-SH-4A ConsNacDerPet,99-21'!J118/42</f>
        <v>837.83333333333337</v>
      </c>
      <c r="K118" s="60"/>
      <c r="L118" s="60"/>
      <c r="M118" s="60"/>
      <c r="N118" s="60"/>
      <c r="O118" s="60"/>
      <c r="P118" s="69"/>
    </row>
    <row r="119" spans="2:16" ht="15" customHeight="1" x14ac:dyDescent="0.25">
      <c r="B119" s="576">
        <v>2007</v>
      </c>
      <c r="C119" s="352"/>
      <c r="D119" s="353">
        <f>'C-SH-4A ConsNacDerPet,99-21'!D119/42</f>
        <v>1029.4285714285713</v>
      </c>
      <c r="E119" s="353"/>
      <c r="F119" s="353"/>
      <c r="G119" s="353">
        <f>'C-SH-4A ConsNacDerPet,99-21'!G119/42</f>
        <v>3.4761904761904763</v>
      </c>
      <c r="H119" s="353">
        <f>'C-SH-4A ConsNacDerPet,99-21'!H119/42</f>
        <v>1437.8095238095239</v>
      </c>
      <c r="I119" s="353">
        <f>'C-SH-4A ConsNacDerPet,99-21'!I119/42</f>
        <v>0</v>
      </c>
      <c r="J119" s="456">
        <f>'C-SH-4A ConsNacDerPet,99-21'!J119/42</f>
        <v>552.54761904761904</v>
      </c>
      <c r="K119" s="60"/>
      <c r="L119" s="60"/>
      <c r="M119" s="60"/>
      <c r="N119" s="60"/>
      <c r="O119" s="60"/>
      <c r="P119" s="69"/>
    </row>
    <row r="120" spans="2:16" ht="15" customHeight="1" x14ac:dyDescent="0.25">
      <c r="B120" s="575">
        <v>2008</v>
      </c>
      <c r="C120" s="464"/>
      <c r="D120" s="349">
        <f>'C-SH-4A ConsNacDerPet,99-21'!D120/42</f>
        <v>1082.2142857142858</v>
      </c>
      <c r="E120" s="349"/>
      <c r="F120" s="349"/>
      <c r="G120" s="349">
        <f>'C-SH-4A ConsNacDerPet,99-21'!G120/42</f>
        <v>3.5476190476190474</v>
      </c>
      <c r="H120" s="349">
        <f>'C-SH-4A ConsNacDerPet,99-21'!H120/42</f>
        <v>1511.6666666666667</v>
      </c>
      <c r="I120" s="349">
        <f>'C-SH-4A ConsNacDerPet,99-21'!I120/42</f>
        <v>0</v>
      </c>
      <c r="J120" s="437">
        <f>'C-SH-4A ConsNacDerPet,99-21'!J120/42</f>
        <v>476.45238095238096</v>
      </c>
      <c r="K120" s="43"/>
      <c r="L120" s="43"/>
      <c r="M120" s="43"/>
      <c r="N120" s="43"/>
      <c r="O120" s="43"/>
      <c r="P120" s="43"/>
    </row>
    <row r="121" spans="2:16" ht="15" customHeight="1" x14ac:dyDescent="0.25">
      <c r="B121" s="576">
        <v>2009</v>
      </c>
      <c r="C121" s="494"/>
      <c r="D121" s="353">
        <f>'C-SH-4A ConsNacDerPet,99-21'!D121/42</f>
        <v>1218.1904761904761</v>
      </c>
      <c r="E121" s="353"/>
      <c r="F121" s="353"/>
      <c r="G121" s="353">
        <f>'C-SH-4A ConsNacDerPet,99-21'!G121/42</f>
        <v>8.5476190476190474</v>
      </c>
      <c r="H121" s="353">
        <f>'C-SH-4A ConsNacDerPet,99-21'!H121/42</f>
        <v>1735.8809523809523</v>
      </c>
      <c r="I121" s="353">
        <f>'C-SH-4A ConsNacDerPet,99-21'!I121/42</f>
        <v>0</v>
      </c>
      <c r="J121" s="456">
        <f>'C-SH-4A ConsNacDerPet,99-21'!J121/42</f>
        <v>593.88095238095241</v>
      </c>
      <c r="K121" s="43"/>
      <c r="L121" s="43"/>
      <c r="M121" s="43"/>
      <c r="N121" s="43"/>
      <c r="O121" s="43"/>
      <c r="P121" s="43"/>
    </row>
    <row r="122" spans="2:16" ht="15" customHeight="1" x14ac:dyDescent="0.25">
      <c r="B122" s="576">
        <v>2010</v>
      </c>
      <c r="C122" s="494"/>
      <c r="D122" s="353">
        <f>'C-SH-4A ConsNacDerPet,99-21'!D122/42</f>
        <v>1322.4285714285713</v>
      </c>
      <c r="E122" s="353"/>
      <c r="F122" s="353"/>
      <c r="G122" s="353">
        <f>'C-SH-4A ConsNacDerPet,99-21'!G122/42</f>
        <v>18.833333333333332</v>
      </c>
      <c r="H122" s="353">
        <f>'C-SH-4A ConsNacDerPet,99-21'!H122/42</f>
        <v>1783.5238095238096</v>
      </c>
      <c r="I122" s="353">
        <f>'C-SH-4A ConsNacDerPet,99-21'!I122/42</f>
        <v>0</v>
      </c>
      <c r="J122" s="456">
        <f>'C-SH-4A ConsNacDerPet,99-21'!J122/42</f>
        <v>518.71428571428567</v>
      </c>
      <c r="K122" s="43"/>
      <c r="L122" s="43"/>
      <c r="M122" s="43"/>
      <c r="N122" s="43"/>
      <c r="O122" s="43"/>
      <c r="P122" s="43"/>
    </row>
    <row r="123" spans="2:16" ht="15" customHeight="1" x14ac:dyDescent="0.25">
      <c r="B123" s="582">
        <v>2011</v>
      </c>
      <c r="C123" s="172"/>
      <c r="D123" s="353">
        <f>'C-SH-4A ConsNacDerPet,99-21'!D123/42</f>
        <v>1360.8571428571429</v>
      </c>
      <c r="E123" s="353"/>
      <c r="F123" s="353"/>
      <c r="G123" s="353">
        <f>'C-SH-4A ConsNacDerPet,99-21'!G123/42</f>
        <v>3.9047619047619047</v>
      </c>
      <c r="H123" s="353">
        <f>'C-SH-4A ConsNacDerPet,99-21'!H123/42</f>
        <v>1965.6428571428571</v>
      </c>
      <c r="I123" s="353">
        <f>'C-SH-4A ConsNacDerPet,99-21'!I123/42</f>
        <v>0</v>
      </c>
      <c r="J123" s="456">
        <f>'C-SH-4A ConsNacDerPet,99-21'!J123/42</f>
        <v>487.28571428571428</v>
      </c>
      <c r="K123" s="43"/>
      <c r="L123" s="43"/>
      <c r="M123" s="43"/>
      <c r="N123" s="43"/>
      <c r="O123" s="43"/>
      <c r="P123" s="43"/>
    </row>
    <row r="124" spans="2:16" ht="15" customHeight="1" x14ac:dyDescent="0.25">
      <c r="B124" s="582">
        <v>2012</v>
      </c>
      <c r="C124" s="172"/>
      <c r="D124" s="353">
        <f>'C-SH-4A ConsNacDerPet,99-21'!D124/42</f>
        <v>1418.3809523809523</v>
      </c>
      <c r="E124" s="353"/>
      <c r="F124" s="353"/>
      <c r="G124" s="353">
        <f>'C-SH-4A ConsNacDerPet,99-21'!G124/42</f>
        <v>2.0476190476190474</v>
      </c>
      <c r="H124" s="353">
        <f>'C-SH-4A ConsNacDerPet,99-21'!H124/42</f>
        <v>1902.7619047619048</v>
      </c>
      <c r="I124" s="353">
        <f>'C-SH-4A ConsNacDerPet,99-21'!I124/42</f>
        <v>0</v>
      </c>
      <c r="J124" s="355">
        <f>'C-SH-4A ConsNacDerPet,99-21'!J124/42</f>
        <v>717.59523809523807</v>
      </c>
      <c r="K124" s="43"/>
      <c r="L124" s="43"/>
      <c r="M124" s="43"/>
      <c r="N124" s="43"/>
      <c r="O124" s="43"/>
      <c r="P124" s="43"/>
    </row>
    <row r="125" spans="2:16" ht="15" customHeight="1" x14ac:dyDescent="0.25">
      <c r="B125" s="582">
        <v>2013</v>
      </c>
      <c r="C125" s="172"/>
      <c r="D125" s="353">
        <f>'C-SH-4A ConsNacDerPet,99-21'!D125/42</f>
        <v>704.5</v>
      </c>
      <c r="E125" s="353">
        <f>'C-SH-4A ConsNacDerPet,99-21'!E125/42</f>
        <v>842.21428571428567</v>
      </c>
      <c r="F125" s="353">
        <f>'C-SH-4A ConsNacDerPet,99-21'!F125/42</f>
        <v>0</v>
      </c>
      <c r="G125" s="353">
        <f>'C-SH-4A ConsNacDerPet,99-21'!G125/42</f>
        <v>2.0714285714285716</v>
      </c>
      <c r="H125" s="353">
        <f>'C-SH-4A ConsNacDerPet,99-21'!H125/42</f>
        <v>2189.2142857142858</v>
      </c>
      <c r="I125" s="353">
        <f>'C-SH-4A ConsNacDerPet,99-21'!I125/42</f>
        <v>0</v>
      </c>
      <c r="J125" s="355">
        <f>'C-SH-4A ConsNacDerPet,99-21'!J125/42</f>
        <v>508.64285714285717</v>
      </c>
      <c r="K125" s="43"/>
      <c r="L125" s="43"/>
      <c r="M125" s="43"/>
      <c r="N125" s="43"/>
      <c r="O125" s="43"/>
      <c r="P125" s="43"/>
    </row>
    <row r="126" spans="2:16" ht="15" customHeight="1" x14ac:dyDescent="0.25">
      <c r="B126" s="582">
        <v>2014</v>
      </c>
      <c r="C126" s="172"/>
      <c r="D126" s="353">
        <f>'C-SH-4A ConsNacDerPet,99-21'!D126/42</f>
        <v>1644.3333333333333</v>
      </c>
      <c r="E126" s="353">
        <f>'C-SH-4A ConsNacDerPet,99-21'!E126/42</f>
        <v>0</v>
      </c>
      <c r="F126" s="353">
        <f>'C-SH-4A ConsNacDerPet,99-21'!F126/42</f>
        <v>0</v>
      </c>
      <c r="G126" s="353">
        <f>'C-SH-4A ConsNacDerPet,99-21'!G126/42</f>
        <v>2.0952380952380953</v>
      </c>
      <c r="H126" s="353">
        <f>'C-SH-4A ConsNacDerPet,99-21'!H126/42</f>
        <v>2075.6904761904761</v>
      </c>
      <c r="I126" s="353">
        <f>'C-SH-4A ConsNacDerPet,99-21'!I126/42</f>
        <v>0</v>
      </c>
      <c r="J126" s="355">
        <f>'C-SH-4A ConsNacDerPet,99-21'!J126/42</f>
        <v>311.78571428571428</v>
      </c>
      <c r="K126" s="43"/>
      <c r="L126" s="43"/>
      <c r="M126" s="43"/>
      <c r="N126" s="43"/>
      <c r="O126" s="43"/>
      <c r="P126" s="43"/>
    </row>
    <row r="127" spans="2:16" ht="15" customHeight="1" x14ac:dyDescent="0.25">
      <c r="B127" s="576">
        <v>2015</v>
      </c>
      <c r="C127" s="743"/>
      <c r="D127" s="353">
        <f>'C-SH-4A ConsNacDerPet,99-21'!D127/42</f>
        <v>1806.3095238095239</v>
      </c>
      <c r="E127" s="353">
        <f>'C-SH-4A ConsNacDerPet,99-21'!E127/42</f>
        <v>0</v>
      </c>
      <c r="F127" s="353">
        <f>'C-SH-4A ConsNacDerPet,99-21'!F127/42</f>
        <v>0</v>
      </c>
      <c r="G127" s="353">
        <f>'C-SH-4A ConsNacDerPet,99-21'!G127/42</f>
        <v>1.4523809523809523</v>
      </c>
      <c r="H127" s="353">
        <f>'C-SH-4A ConsNacDerPet,99-21'!H127/42</f>
        <v>2214.1190476190477</v>
      </c>
      <c r="I127" s="353">
        <f>'C-SH-4A ConsNacDerPet,99-21'!I127/42</f>
        <v>0</v>
      </c>
      <c r="J127" s="355">
        <f>'C-SH-4A ConsNacDerPet,99-21'!J127/42</f>
        <v>877.30952380952385</v>
      </c>
      <c r="K127" s="43"/>
      <c r="L127" s="43"/>
      <c r="M127" s="43"/>
      <c r="N127" s="43"/>
      <c r="O127" s="43"/>
      <c r="P127" s="43"/>
    </row>
    <row r="128" spans="2:16" ht="15" customHeight="1" x14ac:dyDescent="0.25">
      <c r="B128" s="576">
        <v>2016</v>
      </c>
      <c r="C128" s="759"/>
      <c r="D128" s="353">
        <f>'C-SH-4A ConsNacDerPet,99-21'!D128/42</f>
        <v>1873.4761904761904</v>
      </c>
      <c r="E128" s="353">
        <f>'C-SH-4A ConsNacDerPet,99-21'!E128/42</f>
        <v>0</v>
      </c>
      <c r="F128" s="353">
        <f>'C-SH-4A ConsNacDerPet,99-21'!F128/42</f>
        <v>0</v>
      </c>
      <c r="G128" s="353">
        <f>'C-SH-4A ConsNacDerPet,99-21'!G128/42</f>
        <v>1.9047619047619047</v>
      </c>
      <c r="H128" s="353">
        <f>'C-SH-4A ConsNacDerPet,99-21'!H128/42</f>
        <v>1983.6904761904761</v>
      </c>
      <c r="I128" s="353">
        <f>'C-SH-4A ConsNacDerPet,99-21'!I128/42</f>
        <v>0</v>
      </c>
      <c r="J128" s="355">
        <f>'C-SH-4A ConsNacDerPet,99-21'!J128/42</f>
        <v>395.28571428571428</v>
      </c>
      <c r="K128" s="43"/>
      <c r="L128" s="43"/>
      <c r="M128" s="43"/>
      <c r="N128" s="43"/>
      <c r="O128" s="43"/>
      <c r="P128" s="43"/>
    </row>
    <row r="129" spans="2:16" ht="15" customHeight="1" x14ac:dyDescent="0.25">
      <c r="B129" s="582">
        <v>2017</v>
      </c>
      <c r="C129" s="172"/>
      <c r="D129" s="353">
        <f>'C-SH-4A ConsNacDerPet,99-21'!D129/42</f>
        <v>1976.1428571428571</v>
      </c>
      <c r="E129" s="353">
        <f>'C-SH-4A ConsNacDerPet,99-21'!E129/42</f>
        <v>0</v>
      </c>
      <c r="F129" s="353">
        <f>'C-SH-4A ConsNacDerPet,99-21'!F129/42</f>
        <v>0</v>
      </c>
      <c r="G129" s="353">
        <f>'C-SH-4A ConsNacDerPet,99-21'!G129/42</f>
        <v>1.8571428571428572</v>
      </c>
      <c r="H129" s="353">
        <f>'C-SH-4A ConsNacDerPet,99-21'!H129/42</f>
        <v>2072.9285714285716</v>
      </c>
      <c r="I129" s="353">
        <f>'C-SH-4A ConsNacDerPet,99-21'!I129/42</f>
        <v>0</v>
      </c>
      <c r="J129" s="355">
        <f>'C-SH-4A ConsNacDerPet,99-21'!J129/42</f>
        <v>356.07142857142856</v>
      </c>
      <c r="K129" s="43"/>
      <c r="L129" s="43"/>
      <c r="M129" s="43"/>
      <c r="N129" s="43"/>
      <c r="O129" s="43"/>
      <c r="P129" s="43"/>
    </row>
    <row r="130" spans="2:16" ht="15" customHeight="1" x14ac:dyDescent="0.25">
      <c r="B130" s="576">
        <v>2018</v>
      </c>
      <c r="C130" s="759"/>
      <c r="D130" s="353">
        <f>'C-SH-4A ConsNacDerPet,99-21'!D130/42</f>
        <v>2013.6904761904761</v>
      </c>
      <c r="E130" s="353">
        <f>'C-SH-4A ConsNacDerPet,99-21'!E130/42</f>
        <v>0</v>
      </c>
      <c r="F130" s="353">
        <f>'C-SH-4A ConsNacDerPet,99-21'!F130/42</f>
        <v>0</v>
      </c>
      <c r="G130" s="353">
        <f>'C-SH-4A ConsNacDerPet,99-21'!G130/42</f>
        <v>1.6428571428571428</v>
      </c>
      <c r="H130" s="353">
        <f>'C-SH-4A ConsNacDerPet,99-21'!H130/42</f>
        <v>2172.2380952380954</v>
      </c>
      <c r="I130" s="353">
        <f>'C-SH-4A ConsNacDerPet,99-21'!I130/42</f>
        <v>0</v>
      </c>
      <c r="J130" s="355">
        <f>'C-SH-4A ConsNacDerPet,99-21'!J130/42</f>
        <v>189.4047619047619</v>
      </c>
      <c r="K130" s="43"/>
      <c r="L130" s="43"/>
      <c r="M130" s="43"/>
      <c r="N130" s="43"/>
      <c r="O130" s="43"/>
      <c r="P130" s="43"/>
    </row>
    <row r="131" spans="2:16" ht="15" customHeight="1" x14ac:dyDescent="0.25">
      <c r="B131" s="576">
        <v>2019</v>
      </c>
      <c r="C131" s="172"/>
      <c r="D131" s="353">
        <f>'C-SH-4A ConsNacDerPet,99-21'!D131/42</f>
        <v>2070.4761904761904</v>
      </c>
      <c r="E131" s="353">
        <f>'C-SH-4A ConsNacDerPet,99-21'!E131/42</f>
        <v>0</v>
      </c>
      <c r="F131" s="353">
        <f>'C-SH-4A ConsNacDerPet,99-21'!F131/42</f>
        <v>0</v>
      </c>
      <c r="G131" s="353">
        <f>'C-SH-4A ConsNacDerPet,99-21'!G131/42</f>
        <v>1.7380952380952381</v>
      </c>
      <c r="H131" s="353">
        <f>'C-SH-4A ConsNacDerPet,99-21'!H131/42</f>
        <v>2117.4523809523807</v>
      </c>
      <c r="I131" s="353">
        <f>'C-SH-4A ConsNacDerPet,99-21'!I131/42</f>
        <v>0</v>
      </c>
      <c r="J131" s="355">
        <f>'C-SH-4A ConsNacDerPet,99-21'!J131/42</f>
        <v>162.14285714285714</v>
      </c>
      <c r="K131" s="43"/>
      <c r="L131" s="43"/>
      <c r="M131" s="43"/>
      <c r="N131" s="43"/>
      <c r="O131" s="43"/>
      <c r="P131" s="43"/>
    </row>
    <row r="132" spans="2:16" ht="15" customHeight="1" x14ac:dyDescent="0.25">
      <c r="B132" s="576">
        <v>2020</v>
      </c>
      <c r="C132" s="172"/>
      <c r="D132" s="353">
        <f>'C-SH-4A ConsNacDerPet,99-21'!D132/42</f>
        <v>1708.3333333333333</v>
      </c>
      <c r="E132" s="353">
        <f>'C-SH-4A ConsNacDerPet,99-21'!E132/42</f>
        <v>0</v>
      </c>
      <c r="F132" s="353">
        <f>'C-SH-4A ConsNacDerPet,99-21'!F132/42</f>
        <v>0</v>
      </c>
      <c r="G132" s="353">
        <f>'C-SH-4A ConsNacDerPet,99-21'!G132/42</f>
        <v>1.9761904761904763</v>
      </c>
      <c r="H132" s="353">
        <f>'C-SH-4A ConsNacDerPet,99-21'!H132/42</f>
        <v>1812.9761904761904</v>
      </c>
      <c r="I132" s="353">
        <f>'C-SH-4A ConsNacDerPet,99-21'!I132/42</f>
        <v>0</v>
      </c>
      <c r="J132" s="355">
        <f>'C-SH-4A ConsNacDerPet,99-21'!J132/42</f>
        <v>53.88095238095238</v>
      </c>
      <c r="K132" s="43"/>
      <c r="L132" s="43"/>
      <c r="M132" s="43"/>
      <c r="N132" s="43"/>
      <c r="O132" s="43"/>
      <c r="P132" s="43"/>
    </row>
    <row r="133" spans="2:16" ht="15" customHeight="1" thickBot="1" x14ac:dyDescent="0.3">
      <c r="B133" s="719">
        <v>2021</v>
      </c>
      <c r="C133" s="795"/>
      <c r="D133" s="360">
        <f>'C-SH-4A ConsNacDerPet,99-21'!D133/42</f>
        <v>2020.6190476190477</v>
      </c>
      <c r="E133" s="360">
        <f>'C-SH-4A ConsNacDerPet,99-21'!E133/42</f>
        <v>0</v>
      </c>
      <c r="F133" s="360">
        <f>'C-SH-4A ConsNacDerPet,99-21'!F133/42</f>
        <v>0</v>
      </c>
      <c r="G133" s="360">
        <f>'C-SH-4A ConsNacDerPet,99-21'!G133/42</f>
        <v>1.0714285714285714</v>
      </c>
      <c r="H133" s="360">
        <f>'C-SH-4A ConsNacDerPet,99-21'!H133/42</f>
        <v>2130.5714285714284</v>
      </c>
      <c r="I133" s="360">
        <f>'C-SH-4A ConsNacDerPet,99-21'!I133/42</f>
        <v>0</v>
      </c>
      <c r="J133" s="685">
        <f>'C-SH-4A ConsNacDerPet,99-21'!J133/42</f>
        <v>250</v>
      </c>
      <c r="K133" s="43"/>
      <c r="L133" s="43"/>
      <c r="M133" s="43"/>
      <c r="N133" s="43"/>
      <c r="O133" s="43"/>
      <c r="P133" s="43"/>
    </row>
    <row r="134" spans="2:16" ht="15" customHeight="1" thickBot="1" x14ac:dyDescent="0.3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2:16" ht="39.9" customHeight="1" thickBot="1" x14ac:dyDescent="0.3">
      <c r="B135" s="565" t="s">
        <v>100</v>
      </c>
      <c r="C135" s="583" t="s">
        <v>127</v>
      </c>
      <c r="D135" s="567" t="s">
        <v>35</v>
      </c>
      <c r="E135" s="567"/>
      <c r="F135" s="567" t="s">
        <v>36</v>
      </c>
      <c r="G135" s="563" t="s">
        <v>133</v>
      </c>
      <c r="H135" s="563" t="s">
        <v>177</v>
      </c>
      <c r="I135" s="584" t="s">
        <v>143</v>
      </c>
      <c r="J135" s="565" t="s">
        <v>78</v>
      </c>
    </row>
    <row r="136" spans="2:16" s="67" customFormat="1" ht="15" customHeight="1" x14ac:dyDescent="0.25">
      <c r="B136" s="569"/>
      <c r="C136" s="314"/>
      <c r="D136" s="71"/>
      <c r="E136" s="71"/>
      <c r="F136" s="71"/>
      <c r="G136" s="72"/>
      <c r="H136" s="72"/>
      <c r="I136" s="302"/>
      <c r="J136" s="319"/>
      <c r="O136" s="31"/>
      <c r="P136" s="12"/>
    </row>
    <row r="137" spans="2:16" ht="15" customHeight="1" x14ac:dyDescent="0.25">
      <c r="B137" s="570" t="s">
        <v>119</v>
      </c>
      <c r="C137" s="30"/>
      <c r="D137" s="11"/>
      <c r="E137" s="11"/>
      <c r="F137" s="11"/>
      <c r="G137" s="11"/>
      <c r="H137" s="11"/>
      <c r="I137" s="137"/>
      <c r="J137" s="320"/>
      <c r="O137" s="12"/>
      <c r="P137" s="12"/>
    </row>
    <row r="138" spans="2:16" ht="15" customHeight="1" x14ac:dyDescent="0.25">
      <c r="B138" s="571">
        <v>1999</v>
      </c>
      <c r="C138" s="29">
        <f t="shared" ref="C138:D142" si="9">+C165+C190+C215+C240</f>
        <v>265.64285714285711</v>
      </c>
      <c r="D138" s="17">
        <f t="shared" si="9"/>
        <v>1.8571428571428572</v>
      </c>
      <c r="E138" s="17"/>
      <c r="F138" s="17">
        <f t="shared" ref="F138:G157" si="10">+F165+F190+F215+F240</f>
        <v>1147.9523809523812</v>
      </c>
      <c r="G138" s="17">
        <f t="shared" si="10"/>
        <v>14.714285714285715</v>
      </c>
      <c r="H138" s="17"/>
      <c r="I138" s="138"/>
      <c r="J138" s="344">
        <f t="shared" ref="J138:J160" si="11">SUM(C9:J9,C138:I138)</f>
        <v>11579.071428571429</v>
      </c>
      <c r="K138" s="439"/>
      <c r="O138" s="69"/>
      <c r="P138" s="12"/>
    </row>
    <row r="139" spans="2:16" ht="15" customHeight="1" x14ac:dyDescent="0.25">
      <c r="B139" s="571">
        <v>2000</v>
      </c>
      <c r="C139" s="29">
        <f t="shared" si="9"/>
        <v>214.21428571428572</v>
      </c>
      <c r="D139" s="17">
        <f t="shared" si="9"/>
        <v>1.9999999999999998</v>
      </c>
      <c r="E139" s="17"/>
      <c r="F139" s="17">
        <f t="shared" si="10"/>
        <v>1151.9047619047619</v>
      </c>
      <c r="G139" s="17">
        <f t="shared" si="10"/>
        <v>14.023809523809524</v>
      </c>
      <c r="H139" s="17"/>
      <c r="I139" s="138"/>
      <c r="J139" s="344">
        <f t="shared" si="11"/>
        <v>10149.047619047618</v>
      </c>
      <c r="K139" s="439"/>
      <c r="O139" s="69"/>
      <c r="P139" s="12"/>
    </row>
    <row r="140" spans="2:16" ht="15" customHeight="1" x14ac:dyDescent="0.25">
      <c r="B140" s="571">
        <v>2001</v>
      </c>
      <c r="C140" s="29">
        <f t="shared" si="9"/>
        <v>166.4047619047619</v>
      </c>
      <c r="D140" s="17">
        <f t="shared" si="9"/>
        <v>1.6666666666666667</v>
      </c>
      <c r="E140" s="17"/>
      <c r="F140" s="17">
        <f t="shared" si="10"/>
        <v>1165.0952380952381</v>
      </c>
      <c r="G140" s="29">
        <f t="shared" si="10"/>
        <v>36.714285714285715</v>
      </c>
      <c r="H140" s="29"/>
      <c r="I140" s="138"/>
      <c r="J140" s="344">
        <f t="shared" si="11"/>
        <v>11715.380952380952</v>
      </c>
      <c r="K140" s="439"/>
      <c r="O140" s="69"/>
      <c r="P140" s="12"/>
    </row>
    <row r="141" spans="2:16" ht="15" customHeight="1" x14ac:dyDescent="0.25">
      <c r="B141" s="571">
        <v>2002</v>
      </c>
      <c r="C141" s="29">
        <f t="shared" si="9"/>
        <v>136.45238095238093</v>
      </c>
      <c r="D141" s="17">
        <f t="shared" si="9"/>
        <v>2.3571428571428568</v>
      </c>
      <c r="E141" s="17"/>
      <c r="F141" s="17">
        <f t="shared" si="10"/>
        <v>1171.6428571428571</v>
      </c>
      <c r="G141" s="29">
        <f t="shared" si="10"/>
        <v>12.952380952380951</v>
      </c>
      <c r="H141" s="29"/>
      <c r="I141" s="138"/>
      <c r="J141" s="344">
        <f t="shared" si="11"/>
        <v>11947.595238095239</v>
      </c>
      <c r="K141" s="439"/>
      <c r="O141" s="69"/>
      <c r="P141" s="12"/>
    </row>
    <row r="142" spans="2:16" ht="15" customHeight="1" x14ac:dyDescent="0.25">
      <c r="B142" s="571">
        <v>2003</v>
      </c>
      <c r="C142" s="29">
        <f t="shared" si="9"/>
        <v>151.54761904761904</v>
      </c>
      <c r="D142" s="17">
        <f t="shared" si="9"/>
        <v>0.59523809523809512</v>
      </c>
      <c r="E142" s="17"/>
      <c r="F142" s="17">
        <f t="shared" si="10"/>
        <v>1135.3571428571429</v>
      </c>
      <c r="G142" s="17">
        <f t="shared" si="10"/>
        <v>14.714285714285714</v>
      </c>
      <c r="H142" s="17">
        <f t="shared" ref="H142:H157" si="12">+H169+H194+H219+H244</f>
        <v>1352.6904761904761</v>
      </c>
      <c r="I142" s="138"/>
      <c r="J142" s="344">
        <f t="shared" si="11"/>
        <v>14789.642857142859</v>
      </c>
      <c r="K142" s="439"/>
      <c r="O142" s="69"/>
      <c r="P142" s="12"/>
    </row>
    <row r="143" spans="2:16" ht="15" customHeight="1" x14ac:dyDescent="0.25">
      <c r="B143" s="571">
        <v>2004</v>
      </c>
      <c r="C143" s="29">
        <f t="shared" ref="C143:C160" si="13">+C170+C195+C220+C245</f>
        <v>149.76190476190476</v>
      </c>
      <c r="D143" s="17"/>
      <c r="E143" s="17"/>
      <c r="F143" s="17">
        <f t="shared" si="10"/>
        <v>1254.5952380952381</v>
      </c>
      <c r="G143" s="17">
        <f t="shared" si="10"/>
        <v>9.3095238095238102</v>
      </c>
      <c r="H143" s="17">
        <f t="shared" si="12"/>
        <v>1338.1904761904761</v>
      </c>
      <c r="I143" s="138">
        <f t="shared" ref="I143:I158" si="14">+I170+I195+I220+I245</f>
        <v>67.666666666666671</v>
      </c>
      <c r="J143" s="344">
        <f t="shared" si="11"/>
        <v>14393.023809523807</v>
      </c>
      <c r="K143" s="439"/>
      <c r="O143" s="69"/>
      <c r="P143" s="12"/>
    </row>
    <row r="144" spans="2:16" ht="15" customHeight="1" x14ac:dyDescent="0.25">
      <c r="B144" s="571">
        <v>2005</v>
      </c>
      <c r="C144" s="29">
        <f t="shared" si="13"/>
        <v>150.6904761904762</v>
      </c>
      <c r="D144" s="29">
        <f>+D171+D196+D221+D246</f>
        <v>0</v>
      </c>
      <c r="E144" s="29"/>
      <c r="F144" s="29">
        <f t="shared" si="10"/>
        <v>1339.3571428571429</v>
      </c>
      <c r="G144" s="29">
        <f t="shared" si="10"/>
        <v>10.571428571428571</v>
      </c>
      <c r="H144" s="29">
        <f t="shared" si="12"/>
        <v>1442.4047619047619</v>
      </c>
      <c r="I144" s="138">
        <f t="shared" si="14"/>
        <v>65</v>
      </c>
      <c r="J144" s="344">
        <f t="shared" si="11"/>
        <v>14279.214285714288</v>
      </c>
      <c r="K144" s="439"/>
      <c r="O144" s="69"/>
      <c r="P144" s="12"/>
    </row>
    <row r="145" spans="2:16" ht="15" customHeight="1" x14ac:dyDescent="0.25">
      <c r="B145" s="571">
        <v>2006</v>
      </c>
      <c r="C145" s="29">
        <f t="shared" si="13"/>
        <v>304.71428571428572</v>
      </c>
      <c r="D145" s="29">
        <f>+D172+D197+D222+D247</f>
        <v>0</v>
      </c>
      <c r="E145" s="29"/>
      <c r="F145" s="29">
        <f t="shared" si="10"/>
        <v>1489.1428571428571</v>
      </c>
      <c r="G145" s="29">
        <f t="shared" si="10"/>
        <v>10.095238095238095</v>
      </c>
      <c r="H145" s="29">
        <f t="shared" si="12"/>
        <v>1659.8571428571429</v>
      </c>
      <c r="I145" s="138">
        <f t="shared" si="14"/>
        <v>85.88095238095238</v>
      </c>
      <c r="J145" s="344">
        <f t="shared" si="11"/>
        <v>15148.404761904763</v>
      </c>
      <c r="K145" s="439"/>
      <c r="O145" s="69"/>
      <c r="P145" s="12"/>
    </row>
    <row r="146" spans="2:16" ht="15" customHeight="1" x14ac:dyDescent="0.25">
      <c r="B146" s="571">
        <v>2007</v>
      </c>
      <c r="C146" s="29">
        <f t="shared" si="13"/>
        <v>298.88095238095241</v>
      </c>
      <c r="D146" s="29"/>
      <c r="E146" s="29"/>
      <c r="F146" s="29">
        <f t="shared" si="10"/>
        <v>1560.0714285714287</v>
      </c>
      <c r="G146" s="29">
        <f t="shared" si="10"/>
        <v>11.357142857142858</v>
      </c>
      <c r="H146" s="29">
        <f t="shared" si="12"/>
        <v>2038.5952380952381</v>
      </c>
      <c r="I146" s="138">
        <f t="shared" si="14"/>
        <v>90.047619047619051</v>
      </c>
      <c r="J146" s="344">
        <f t="shared" si="11"/>
        <v>17414.5</v>
      </c>
      <c r="K146" s="439"/>
      <c r="O146" s="69"/>
      <c r="P146" s="12"/>
    </row>
    <row r="147" spans="2:16" ht="15" customHeight="1" x14ac:dyDescent="0.25">
      <c r="B147" s="571">
        <v>2008</v>
      </c>
      <c r="C147" s="29">
        <f t="shared" si="13"/>
        <v>315.3095238095238</v>
      </c>
      <c r="D147" s="29"/>
      <c r="E147" s="29"/>
      <c r="F147" s="29">
        <f t="shared" si="10"/>
        <v>1597.4761904761906</v>
      </c>
      <c r="G147" s="29">
        <f t="shared" si="10"/>
        <v>10.047619047619047</v>
      </c>
      <c r="H147" s="29">
        <f t="shared" si="12"/>
        <v>2355.8095238095239</v>
      </c>
      <c r="I147" s="138">
        <f t="shared" si="14"/>
        <v>53.928571428571431</v>
      </c>
      <c r="J147" s="344">
        <f t="shared" si="11"/>
        <v>17636.214285714286</v>
      </c>
      <c r="K147" s="439"/>
      <c r="O147" s="69"/>
      <c r="P147" s="12"/>
    </row>
    <row r="148" spans="2:16" ht="15" customHeight="1" x14ac:dyDescent="0.25">
      <c r="B148" s="571">
        <v>2009</v>
      </c>
      <c r="C148" s="29">
        <f t="shared" si="13"/>
        <v>327.45238095238091</v>
      </c>
      <c r="D148" s="29"/>
      <c r="E148" s="29"/>
      <c r="F148" s="29">
        <f t="shared" si="10"/>
        <v>1608.4761904761904</v>
      </c>
      <c r="G148" s="29">
        <f t="shared" si="10"/>
        <v>9.4285714285714288</v>
      </c>
      <c r="H148" s="29">
        <f t="shared" si="12"/>
        <v>2590.2380952380954</v>
      </c>
      <c r="I148" s="29">
        <f t="shared" si="14"/>
        <v>53.819047619047616</v>
      </c>
      <c r="J148" s="344">
        <f t="shared" si="11"/>
        <v>18145.771428571428</v>
      </c>
      <c r="K148" s="439"/>
      <c r="O148" s="69"/>
      <c r="P148" s="12"/>
    </row>
    <row r="149" spans="2:16" ht="15" customHeight="1" x14ac:dyDescent="0.25">
      <c r="B149" s="571">
        <v>2010</v>
      </c>
      <c r="C149" s="29">
        <f t="shared" si="13"/>
        <v>264.21428571428572</v>
      </c>
      <c r="D149" s="29"/>
      <c r="E149" s="29"/>
      <c r="F149" s="29">
        <f t="shared" si="10"/>
        <v>1674.9523809523807</v>
      </c>
      <c r="G149" s="29">
        <f t="shared" si="10"/>
        <v>9.7142857142857153</v>
      </c>
      <c r="H149" s="29">
        <f t="shared" si="12"/>
        <v>2804.0476190476193</v>
      </c>
      <c r="I149" s="29">
        <f t="shared" si="14"/>
        <v>51.952380952380949</v>
      </c>
      <c r="J149" s="344">
        <f t="shared" si="11"/>
        <v>20254.761904761905</v>
      </c>
      <c r="K149" s="439"/>
      <c r="O149" s="69"/>
      <c r="P149" s="12"/>
    </row>
    <row r="150" spans="2:16" ht="15" customHeight="1" x14ac:dyDescent="0.25">
      <c r="B150" s="571">
        <v>2011</v>
      </c>
      <c r="C150" s="29">
        <f t="shared" si="13"/>
        <v>489.90476190476193</v>
      </c>
      <c r="D150" s="29"/>
      <c r="E150" s="29"/>
      <c r="F150" s="29">
        <f t="shared" si="10"/>
        <v>1743.952380952381</v>
      </c>
      <c r="G150" s="29">
        <f t="shared" si="10"/>
        <v>9.6666666666666679</v>
      </c>
      <c r="H150" s="29">
        <f t="shared" si="12"/>
        <v>3226.761904761905</v>
      </c>
      <c r="I150" s="29">
        <f t="shared" si="14"/>
        <v>31.071428571428569</v>
      </c>
      <c r="J150" s="344">
        <f t="shared" si="11"/>
        <v>22527.309523809527</v>
      </c>
      <c r="K150" s="439"/>
      <c r="O150" s="69"/>
      <c r="P150" s="12"/>
    </row>
    <row r="151" spans="2:16" ht="15" customHeight="1" x14ac:dyDescent="0.25">
      <c r="B151" s="571">
        <v>2012</v>
      </c>
      <c r="C151" s="29">
        <f t="shared" si="13"/>
        <v>453.11904761904759</v>
      </c>
      <c r="D151" s="29"/>
      <c r="E151" s="29"/>
      <c r="F151" s="29">
        <f t="shared" si="10"/>
        <v>1819.5238095238096</v>
      </c>
      <c r="G151" s="29">
        <f t="shared" si="10"/>
        <v>11.047619047619047</v>
      </c>
      <c r="H151" s="29">
        <f t="shared" si="12"/>
        <v>3848.0476190476193</v>
      </c>
      <c r="I151" s="29">
        <f t="shared" si="14"/>
        <v>28.761904761904759</v>
      </c>
      <c r="J151" s="344">
        <f t="shared" si="11"/>
        <v>23030.833333333328</v>
      </c>
      <c r="K151" s="439"/>
      <c r="O151" s="69"/>
      <c r="P151" s="12"/>
    </row>
    <row r="152" spans="2:16" ht="15" customHeight="1" x14ac:dyDescent="0.25">
      <c r="B152" s="571">
        <v>2013</v>
      </c>
      <c r="C152" s="29">
        <f t="shared" si="13"/>
        <v>293.5</v>
      </c>
      <c r="D152" s="29"/>
      <c r="E152" s="29"/>
      <c r="F152" s="29">
        <f t="shared" si="10"/>
        <v>1889.4047619047622</v>
      </c>
      <c r="G152" s="29">
        <f t="shared" si="10"/>
        <v>11.714285714285714</v>
      </c>
      <c r="H152" s="29">
        <f t="shared" si="12"/>
        <v>4143.8809523809523</v>
      </c>
      <c r="I152" s="29">
        <f t="shared" si="14"/>
        <v>27.523809523809526</v>
      </c>
      <c r="J152" s="344">
        <f t="shared" si="11"/>
        <v>23605.952380952382</v>
      </c>
      <c r="K152" s="439"/>
      <c r="O152" s="69"/>
      <c r="P152" s="12"/>
    </row>
    <row r="153" spans="2:16" ht="15" customHeight="1" x14ac:dyDescent="0.25">
      <c r="B153" s="571">
        <v>2014</v>
      </c>
      <c r="C153" s="29">
        <f t="shared" si="13"/>
        <v>338.69047619047615</v>
      </c>
      <c r="D153" s="29"/>
      <c r="E153" s="29"/>
      <c r="F153" s="29">
        <f t="shared" si="10"/>
        <v>2014.6190476190477</v>
      </c>
      <c r="G153" s="29">
        <f t="shared" si="10"/>
        <v>15.166666666666666</v>
      </c>
      <c r="H153" s="29">
        <f t="shared" si="12"/>
        <v>4705.0476190476184</v>
      </c>
      <c r="I153" s="29">
        <f t="shared" si="14"/>
        <v>36.047619047619044</v>
      </c>
      <c r="J153" s="344">
        <f t="shared" si="11"/>
        <v>25011.928571428569</v>
      </c>
      <c r="K153" s="439"/>
      <c r="O153" s="69"/>
      <c r="P153" s="12"/>
    </row>
    <row r="154" spans="2:16" ht="15" customHeight="1" x14ac:dyDescent="0.25">
      <c r="B154" s="571">
        <v>2015</v>
      </c>
      <c r="C154" s="29">
        <f t="shared" si="13"/>
        <v>324.33333333333337</v>
      </c>
      <c r="D154" s="29"/>
      <c r="E154" s="29"/>
      <c r="F154" s="29">
        <f t="shared" si="10"/>
        <v>2049.5952380952381</v>
      </c>
      <c r="G154" s="29">
        <f t="shared" si="10"/>
        <v>18.80952380952381</v>
      </c>
      <c r="H154" s="29">
        <f t="shared" si="12"/>
        <v>5066.2142857142862</v>
      </c>
      <c r="I154" s="29">
        <f t="shared" si="14"/>
        <v>35.666666666666664</v>
      </c>
      <c r="J154" s="344">
        <f t="shared" si="11"/>
        <v>25815.142857142855</v>
      </c>
      <c r="K154" s="439"/>
      <c r="O154" s="69"/>
      <c r="P154" s="12"/>
    </row>
    <row r="155" spans="2:16" ht="15" customHeight="1" x14ac:dyDescent="0.25">
      <c r="B155" s="571">
        <v>2016</v>
      </c>
      <c r="C155" s="29">
        <f t="shared" si="13"/>
        <v>366.90476190476193</v>
      </c>
      <c r="D155" s="29"/>
      <c r="E155" s="29"/>
      <c r="F155" s="29">
        <f t="shared" si="10"/>
        <v>2166.0476190476188</v>
      </c>
      <c r="G155" s="29">
        <f t="shared" si="10"/>
        <v>20.261904761904763</v>
      </c>
      <c r="H155" s="29">
        <f t="shared" si="12"/>
        <v>5350.5238095238092</v>
      </c>
      <c r="I155" s="29">
        <f t="shared" si="14"/>
        <v>30.785714285714285</v>
      </c>
      <c r="J155" s="344">
        <f t="shared" si="11"/>
        <v>26855.547619047622</v>
      </c>
      <c r="K155" s="439"/>
      <c r="O155" s="69"/>
      <c r="P155" s="12"/>
    </row>
    <row r="156" spans="2:16" ht="15" customHeight="1" x14ac:dyDescent="0.25">
      <c r="B156" s="571">
        <v>2017</v>
      </c>
      <c r="C156" s="29">
        <f t="shared" si="13"/>
        <v>365.40476190476187</v>
      </c>
      <c r="D156" s="29"/>
      <c r="E156" s="29"/>
      <c r="F156" s="29">
        <f t="shared" si="10"/>
        <v>2232.4285714285716</v>
      </c>
      <c r="G156" s="29">
        <f t="shared" si="10"/>
        <v>20.238095238095237</v>
      </c>
      <c r="H156" s="29">
        <f t="shared" si="12"/>
        <v>5434.2142857142862</v>
      </c>
      <c r="I156" s="29">
        <f t="shared" si="14"/>
        <v>32.928571428571431</v>
      </c>
      <c r="J156" s="344">
        <f t="shared" si="11"/>
        <v>27426.595238095244</v>
      </c>
      <c r="K156" s="439"/>
      <c r="O156" s="69"/>
      <c r="P156" s="12"/>
    </row>
    <row r="157" spans="2:16" ht="15" customHeight="1" x14ac:dyDescent="0.25">
      <c r="B157" s="571">
        <v>2018</v>
      </c>
      <c r="C157" s="29">
        <f t="shared" si="13"/>
        <v>279.90476190476193</v>
      </c>
      <c r="D157" s="29"/>
      <c r="E157" s="29"/>
      <c r="F157" s="29">
        <f t="shared" si="10"/>
        <v>2320.7857142857142</v>
      </c>
      <c r="G157" s="29">
        <f t="shared" si="10"/>
        <v>27.976190476190474</v>
      </c>
      <c r="H157" s="29">
        <f t="shared" si="12"/>
        <v>5683.9285714285716</v>
      </c>
      <c r="I157" s="29">
        <f t="shared" si="14"/>
        <v>33.5</v>
      </c>
      <c r="J157" s="344">
        <f t="shared" si="11"/>
        <v>26360.642857142859</v>
      </c>
      <c r="K157" s="439"/>
      <c r="O157" s="69"/>
      <c r="P157" s="12"/>
    </row>
    <row r="158" spans="2:16" ht="15" customHeight="1" x14ac:dyDescent="0.25">
      <c r="B158" s="571">
        <v>2019</v>
      </c>
      <c r="C158" s="29">
        <f t="shared" si="13"/>
        <v>332.54761904761904</v>
      </c>
      <c r="D158" s="29"/>
      <c r="E158" s="29"/>
      <c r="F158" s="29">
        <f>+F185+F210+F235+F260</f>
        <v>2322.0952380952381</v>
      </c>
      <c r="G158" s="29">
        <f t="shared" ref="G158:H158" si="15">+G185+G210+G235+G260</f>
        <v>21.357142857142854</v>
      </c>
      <c r="H158" s="29">
        <f t="shared" si="15"/>
        <v>5721.6904761904761</v>
      </c>
      <c r="I158" s="29">
        <f t="shared" si="14"/>
        <v>33.38095238095238</v>
      </c>
      <c r="J158" s="344">
        <f t="shared" si="11"/>
        <v>26874.21428571429</v>
      </c>
      <c r="K158" s="439"/>
      <c r="O158" s="69"/>
      <c r="P158" s="12"/>
    </row>
    <row r="159" spans="2:16" ht="15" customHeight="1" x14ac:dyDescent="0.25">
      <c r="B159" s="571">
        <v>2020</v>
      </c>
      <c r="C159" s="29">
        <f t="shared" si="13"/>
        <v>171.1904761904762</v>
      </c>
      <c r="D159" s="29"/>
      <c r="E159" s="29"/>
      <c r="F159" s="29">
        <f>+F186+F211+F236+F261</f>
        <v>2232.0714285714284</v>
      </c>
      <c r="G159" s="29">
        <f t="shared" ref="G159:I160" si="16">+G186+G211+G236+G261</f>
        <v>11.952380952380953</v>
      </c>
      <c r="H159" s="29">
        <f t="shared" si="16"/>
        <v>2009.2142857142856</v>
      </c>
      <c r="I159" s="29">
        <f t="shared" si="16"/>
        <v>26.357142857142858</v>
      </c>
      <c r="J159" s="344">
        <f t="shared" si="11"/>
        <v>17215.666666666668</v>
      </c>
      <c r="K159" s="439"/>
      <c r="O159" s="69"/>
      <c r="P159" s="12"/>
    </row>
    <row r="160" spans="2:16" ht="15" customHeight="1" x14ac:dyDescent="0.25">
      <c r="B160" s="571">
        <v>2021</v>
      </c>
      <c r="C160" s="29">
        <f t="shared" si="13"/>
        <v>198.69047619047618</v>
      </c>
      <c r="D160" s="29"/>
      <c r="E160" s="29"/>
      <c r="F160" s="29">
        <f>+F187+F212+F237+F262</f>
        <v>2349.0952380952381</v>
      </c>
      <c r="G160" s="29">
        <f t="shared" si="16"/>
        <v>18.642857142857142</v>
      </c>
      <c r="H160" s="29">
        <f t="shared" si="16"/>
        <v>3165.8095238095239</v>
      </c>
      <c r="I160" s="29">
        <f t="shared" si="16"/>
        <v>32.428571428571431</v>
      </c>
      <c r="J160" s="344">
        <f t="shared" si="11"/>
        <v>21940.833333333336</v>
      </c>
      <c r="K160" s="439"/>
      <c r="O160" s="69"/>
      <c r="P160" s="12"/>
    </row>
    <row r="161" spans="2:16" ht="15" customHeight="1" x14ac:dyDescent="0.25">
      <c r="B161" s="572" t="s">
        <v>92</v>
      </c>
      <c r="C161" s="440" t="e">
        <f>RATE(-22,,-C160,C138)</f>
        <v>#NUM!</v>
      </c>
      <c r="D161" s="653"/>
      <c r="E161" s="440"/>
      <c r="F161" s="440">
        <f>RATE(-22,,-F160,F138)</f>
        <v>3.3083218493091544E-2</v>
      </c>
      <c r="G161" s="440">
        <f t="shared" ref="G161:J161" si="17">RATE(-22,,-G160,G138)</f>
        <v>1.0814616036193372E-2</v>
      </c>
      <c r="H161" s="440" t="e">
        <f t="shared" si="17"/>
        <v>#NUM!</v>
      </c>
      <c r="I161" s="440"/>
      <c r="J161" s="827">
        <f t="shared" si="17"/>
        <v>2.9478413969899767E-2</v>
      </c>
      <c r="O161" s="70"/>
      <c r="P161" s="12"/>
    </row>
    <row r="162" spans="2:16" ht="15" customHeight="1" thickBot="1" x14ac:dyDescent="0.3">
      <c r="B162" s="573"/>
      <c r="C162" s="316"/>
      <c r="D162" s="73"/>
      <c r="E162" s="73"/>
      <c r="F162" s="73"/>
      <c r="G162" s="73"/>
      <c r="H162" s="73"/>
      <c r="I162" s="146"/>
      <c r="J162" s="322"/>
      <c r="M162" s="439"/>
      <c r="O162" s="70"/>
      <c r="P162" s="12"/>
    </row>
    <row r="163" spans="2:16" ht="15" customHeight="1" x14ac:dyDescent="0.25">
      <c r="B163" s="579"/>
      <c r="C163" s="317"/>
      <c r="D163" s="15"/>
      <c r="E163" s="15"/>
      <c r="F163" s="15"/>
      <c r="G163" s="15"/>
      <c r="H163" s="15"/>
      <c r="I163" s="136"/>
      <c r="J163" s="323"/>
      <c r="O163" s="12"/>
      <c r="P163" s="12"/>
    </row>
    <row r="164" spans="2:16" ht="15" customHeight="1" x14ac:dyDescent="0.25">
      <c r="B164" s="570" t="s">
        <v>115</v>
      </c>
      <c r="C164" s="30"/>
      <c r="D164" s="11"/>
      <c r="E164" s="11"/>
      <c r="F164" s="11"/>
      <c r="G164" s="11"/>
      <c r="H164" s="11"/>
      <c r="I164" s="137"/>
      <c r="J164" s="320"/>
      <c r="O164" s="12"/>
      <c r="P164" s="12"/>
    </row>
    <row r="165" spans="2:16" ht="15" customHeight="1" x14ac:dyDescent="0.25">
      <c r="B165" s="575">
        <v>1999</v>
      </c>
      <c r="C165" s="348">
        <f>'C-SH-4A ConsNacDerPet,99-21'!C166/42</f>
        <v>82.785714285714292</v>
      </c>
      <c r="D165" s="349">
        <f>'C-SH-4A ConsNacDerPet,99-21'!D166/42</f>
        <v>0.35714285714285715</v>
      </c>
      <c r="E165" s="349"/>
      <c r="F165" s="349">
        <f>'C-SH-4A ConsNacDerPet,99-21'!F166/42</f>
        <v>278.92857142857144</v>
      </c>
      <c r="G165" s="349">
        <f>'C-SH-4A ConsNacDerPet,99-21'!G166/42</f>
        <v>3.6904761904761907</v>
      </c>
      <c r="H165" s="349"/>
      <c r="I165" s="350"/>
      <c r="J165" s="344">
        <f t="shared" ref="J165:J187" si="18">SUM(C36:J36,C165:I165)</f>
        <v>3135.833333333333</v>
      </c>
      <c r="O165" s="69"/>
      <c r="P165" s="12"/>
    </row>
    <row r="166" spans="2:16" ht="15" customHeight="1" x14ac:dyDescent="0.25">
      <c r="B166" s="575">
        <v>2000</v>
      </c>
      <c r="C166" s="348">
        <f>'C-SH-4A ConsNacDerPet,99-21'!C167/42</f>
        <v>62.166666666666664</v>
      </c>
      <c r="D166" s="349">
        <f>'C-SH-4A ConsNacDerPet,99-21'!D167/42</f>
        <v>0.47619047619047616</v>
      </c>
      <c r="E166" s="349"/>
      <c r="F166" s="349">
        <f>'C-SH-4A ConsNacDerPet,99-21'!F167/42</f>
        <v>288.21428571428572</v>
      </c>
      <c r="G166" s="349">
        <f>'C-SH-4A ConsNacDerPet,99-21'!G167/42</f>
        <v>3.4761904761904763</v>
      </c>
      <c r="H166" s="349"/>
      <c r="I166" s="350"/>
      <c r="J166" s="344">
        <f t="shared" si="18"/>
        <v>2509.6190476190473</v>
      </c>
      <c r="O166" s="69"/>
      <c r="P166" s="12"/>
    </row>
    <row r="167" spans="2:16" ht="15" customHeight="1" x14ac:dyDescent="0.25">
      <c r="B167" s="575">
        <v>2001</v>
      </c>
      <c r="C167" s="348">
        <f>'C-SH-4A ConsNacDerPet,99-21'!C168/42</f>
        <v>46.142857142857146</v>
      </c>
      <c r="D167" s="349">
        <f>'C-SH-4A ConsNacDerPet,99-21'!D168/42</f>
        <v>0.5714285714285714</v>
      </c>
      <c r="E167" s="349"/>
      <c r="F167" s="349">
        <f>'C-SH-4A ConsNacDerPet,99-21'!F168/42</f>
        <v>287.95238095238096</v>
      </c>
      <c r="G167" s="349">
        <f>'C-SH-4A ConsNacDerPet,99-21'!G168/42</f>
        <v>3.2857142857142856</v>
      </c>
      <c r="H167" s="349"/>
      <c r="I167" s="350"/>
      <c r="J167" s="344">
        <f t="shared" si="18"/>
        <v>2685.8809523809527</v>
      </c>
      <c r="O167" s="69"/>
      <c r="P167" s="12"/>
    </row>
    <row r="168" spans="2:16" ht="15" customHeight="1" x14ac:dyDescent="0.25">
      <c r="B168" s="575">
        <v>2002</v>
      </c>
      <c r="C168" s="348">
        <f>'C-SH-4A ConsNacDerPet,99-21'!C169/42</f>
        <v>34.666666666666664</v>
      </c>
      <c r="D168" s="349">
        <f>'C-SH-4A ConsNacDerPet,99-21'!D169/42</f>
        <v>0.35714285714285715</v>
      </c>
      <c r="E168" s="349"/>
      <c r="F168" s="349">
        <f>'C-SH-4A ConsNacDerPet,99-21'!F169/42</f>
        <v>282.85714285714283</v>
      </c>
      <c r="G168" s="349">
        <f>'C-SH-4A ConsNacDerPet,99-21'!G169/42</f>
        <v>3.3809523809523809</v>
      </c>
      <c r="H168" s="349"/>
      <c r="I168" s="350"/>
      <c r="J168" s="344">
        <f t="shared" si="18"/>
        <v>3138.1904761904757</v>
      </c>
      <c r="O168" s="69"/>
      <c r="P168" s="12"/>
    </row>
    <row r="169" spans="2:16" ht="15" customHeight="1" x14ac:dyDescent="0.25">
      <c r="B169" s="575">
        <v>2003</v>
      </c>
      <c r="C169" s="348">
        <f>'C-SH-4A ConsNacDerPet,99-21'!C170/42</f>
        <v>40.19047619047619</v>
      </c>
      <c r="D169" s="349">
        <f>'C-SH-4A ConsNacDerPet,99-21'!D170/42</f>
        <v>0.23809523809523808</v>
      </c>
      <c r="E169" s="349"/>
      <c r="F169" s="349">
        <f>'C-SH-4A ConsNacDerPet,99-21'!F170/42</f>
        <v>265.71428571428572</v>
      </c>
      <c r="G169" s="349">
        <f>'C-SH-4A ConsNacDerPet,99-21'!G170/42</f>
        <v>4.3571428571428568</v>
      </c>
      <c r="H169" s="349">
        <f>'C-SH-4A ConsNacDerPet,99-21'!H170/42</f>
        <v>341.8095238095238</v>
      </c>
      <c r="I169" s="350"/>
      <c r="J169" s="344">
        <f t="shared" si="18"/>
        <v>3649.5714285714284</v>
      </c>
      <c r="O169" s="69"/>
      <c r="P169" s="12"/>
    </row>
    <row r="170" spans="2:16" ht="15" customHeight="1" x14ac:dyDescent="0.25">
      <c r="B170" s="575">
        <v>2004</v>
      </c>
      <c r="C170" s="348">
        <f>'C-SH-4A ConsNacDerPet,99-21'!C171/42</f>
        <v>42.047619047619051</v>
      </c>
      <c r="D170" s="349"/>
      <c r="E170" s="349"/>
      <c r="F170" s="349">
        <f>'C-SH-4A ConsNacDerPet,99-21'!F171/42</f>
        <v>314.47619047619048</v>
      </c>
      <c r="G170" s="349">
        <f>'C-SH-4A ConsNacDerPet,99-21'!G171/42</f>
        <v>2.6904761904761907</v>
      </c>
      <c r="H170" s="349">
        <f>'C-SH-4A ConsNacDerPet,99-21'!H171/42</f>
        <v>334.76190476190476</v>
      </c>
      <c r="I170" s="350">
        <f>'C-SH-4A ConsNacDerPet,99-21'!I171/42</f>
        <v>17.285714285714285</v>
      </c>
      <c r="J170" s="344">
        <f t="shared" si="18"/>
        <v>4019.9047619047619</v>
      </c>
      <c r="O170" s="69"/>
      <c r="P170" s="12"/>
    </row>
    <row r="171" spans="2:16" ht="15" customHeight="1" x14ac:dyDescent="0.25">
      <c r="B171" s="575">
        <v>2005</v>
      </c>
      <c r="C171" s="348">
        <f>'C-SH-4A ConsNacDerPet,99-21'!C172/42</f>
        <v>32.642857142857146</v>
      </c>
      <c r="D171" s="349"/>
      <c r="E171" s="349"/>
      <c r="F171" s="349">
        <f>'C-SH-4A ConsNacDerPet,99-21'!F172/42</f>
        <v>317.88095238095241</v>
      </c>
      <c r="G171" s="349">
        <f>'C-SH-4A ConsNacDerPet,99-21'!G172/42</f>
        <v>2.7619047619047619</v>
      </c>
      <c r="H171" s="349">
        <f>'C-SH-4A ConsNacDerPet,99-21'!H172/42</f>
        <v>343.45238095238096</v>
      </c>
      <c r="I171" s="350">
        <f>'C-SH-4A ConsNacDerPet,99-21'!I172/42</f>
        <v>17.904761904761905</v>
      </c>
      <c r="J171" s="344">
        <f t="shared" si="18"/>
        <v>3444.2142857142858</v>
      </c>
      <c r="O171" s="69"/>
      <c r="P171" s="12"/>
    </row>
    <row r="172" spans="2:16" ht="15" customHeight="1" x14ac:dyDescent="0.25">
      <c r="B172" s="575">
        <v>2006</v>
      </c>
      <c r="C172" s="348">
        <f>'C-SH-4A ConsNacDerPet,99-21'!C173/42</f>
        <v>60.69047619047619</v>
      </c>
      <c r="D172" s="349"/>
      <c r="E172" s="349"/>
      <c r="F172" s="349">
        <f>'C-SH-4A ConsNacDerPet,99-21'!F173/42</f>
        <v>339.73809523809524</v>
      </c>
      <c r="G172" s="349">
        <f>'C-SH-4A ConsNacDerPet,99-21'!G173/42</f>
        <v>2.5238095238095237</v>
      </c>
      <c r="H172" s="349">
        <f>'C-SH-4A ConsNacDerPet,99-21'!H173/42</f>
        <v>393.6904761904762</v>
      </c>
      <c r="I172" s="350">
        <f>'C-SH-4A ConsNacDerPet,99-21'!I173/42</f>
        <v>19.452380952380953</v>
      </c>
      <c r="J172" s="344">
        <f t="shared" si="18"/>
        <v>3739.4285714285711</v>
      </c>
      <c r="O172" s="69"/>
      <c r="P172" s="12"/>
    </row>
    <row r="173" spans="2:16" ht="15" customHeight="1" x14ac:dyDescent="0.25">
      <c r="B173" s="575">
        <v>2007</v>
      </c>
      <c r="C173" s="348">
        <f>'C-SH-4A ConsNacDerPet,99-21'!C174/42</f>
        <v>85.19047619047619</v>
      </c>
      <c r="D173" s="349"/>
      <c r="E173" s="349"/>
      <c r="F173" s="349">
        <f>'C-SH-4A ConsNacDerPet,99-21'!F174/42</f>
        <v>379.88095238095241</v>
      </c>
      <c r="G173" s="349">
        <f>'C-SH-4A ConsNacDerPet,99-21'!G174/42</f>
        <v>3.0238095238095237</v>
      </c>
      <c r="H173" s="349">
        <f>'C-SH-4A ConsNacDerPet,99-21'!H174/42</f>
        <v>500.66666666666669</v>
      </c>
      <c r="I173" s="350">
        <f>'C-SH-4A ConsNacDerPet,99-21'!I174/42</f>
        <v>21.261904761904763</v>
      </c>
      <c r="J173" s="344">
        <f t="shared" si="18"/>
        <v>4636.5238095238092</v>
      </c>
      <c r="O173" s="69"/>
      <c r="P173" s="12"/>
    </row>
    <row r="174" spans="2:16" ht="15" customHeight="1" x14ac:dyDescent="0.25">
      <c r="B174" s="575">
        <v>2008</v>
      </c>
      <c r="C174" s="348">
        <f>'C-SH-4A ConsNacDerPet,99-21'!C175/42</f>
        <v>81.047619047619051</v>
      </c>
      <c r="D174" s="349"/>
      <c r="E174" s="349"/>
      <c r="F174" s="349">
        <f>'C-SH-4A ConsNacDerPet,99-21'!F175/42</f>
        <v>387.23809523809524</v>
      </c>
      <c r="G174" s="349">
        <f>'C-SH-4A ConsNacDerPet,99-21'!G175/42</f>
        <v>2.6666666666666665</v>
      </c>
      <c r="H174" s="349">
        <f>'C-SH-4A ConsNacDerPet,99-21'!H175/42</f>
        <v>563</v>
      </c>
      <c r="I174" s="350">
        <f>'C-SH-4A ConsNacDerPet,99-21'!I175/42</f>
        <v>16.69047619047619</v>
      </c>
      <c r="J174" s="344">
        <f t="shared" si="18"/>
        <v>4353.8809523809532</v>
      </c>
      <c r="O174" s="69"/>
      <c r="P174" s="12"/>
    </row>
    <row r="175" spans="2:16" ht="15" customHeight="1" x14ac:dyDescent="0.25">
      <c r="B175" s="575">
        <v>2009</v>
      </c>
      <c r="C175" s="348">
        <f>'C-SH-4A ConsNacDerPet,99-21'!C176/42</f>
        <v>109.33333333333333</v>
      </c>
      <c r="D175" s="349"/>
      <c r="E175" s="349"/>
      <c r="F175" s="349">
        <f>'C-SH-4A ConsNacDerPet,99-21'!F176/42</f>
        <v>394.02380952380952</v>
      </c>
      <c r="G175" s="349">
        <f>'C-SH-4A ConsNacDerPet,99-21'!G176/42</f>
        <v>2.5714285714285716</v>
      </c>
      <c r="H175" s="349">
        <f>'C-SH-4A ConsNacDerPet,99-21'!H176/42</f>
        <v>657.61904761904759</v>
      </c>
      <c r="I175" s="350">
        <f>'C-SH-4A ConsNacDerPet,99-21'!I176/42</f>
        <v>14.404761904761905</v>
      </c>
      <c r="J175" s="344">
        <f t="shared" si="18"/>
        <v>4463.7380952380945</v>
      </c>
      <c r="O175" s="69"/>
      <c r="P175" s="12"/>
    </row>
    <row r="176" spans="2:16" ht="15" customHeight="1" x14ac:dyDescent="0.25">
      <c r="B176" s="575">
        <v>2010</v>
      </c>
      <c r="C176" s="348">
        <f>'C-SH-4A ConsNacDerPet,99-21'!C177/42</f>
        <v>64.642857142857139</v>
      </c>
      <c r="D176" s="349"/>
      <c r="E176" s="349"/>
      <c r="F176" s="349">
        <f>'C-SH-4A ConsNacDerPet,99-21'!F177/42</f>
        <v>401.83333333333331</v>
      </c>
      <c r="G176" s="349">
        <f>'C-SH-4A ConsNacDerPet,99-21'!G177/42</f>
        <v>2.5952380952380953</v>
      </c>
      <c r="H176" s="349">
        <f>'C-SH-4A ConsNacDerPet,99-21'!H177/42</f>
        <v>681.59523809523807</v>
      </c>
      <c r="I176" s="350">
        <f>'C-SH-4A ConsNacDerPet,99-21'!I177/42</f>
        <v>13.619047619047619</v>
      </c>
      <c r="J176" s="344">
        <f t="shared" si="18"/>
        <v>5262.6190476190477</v>
      </c>
      <c r="O176" s="69"/>
      <c r="P176" s="12"/>
    </row>
    <row r="177" spans="2:16" ht="15" customHeight="1" x14ac:dyDescent="0.25">
      <c r="B177" s="575">
        <v>2011</v>
      </c>
      <c r="C177" s="348">
        <f>'C-SH-4A ConsNacDerPet,99-21'!C178/42</f>
        <v>110.80952380952381</v>
      </c>
      <c r="D177" s="349"/>
      <c r="E177" s="349"/>
      <c r="F177" s="349">
        <f>'C-SH-4A ConsNacDerPet,99-21'!F178/42</f>
        <v>407.3095238095238</v>
      </c>
      <c r="G177" s="349">
        <f>'C-SH-4A ConsNacDerPet,99-21'!G178/42</f>
        <v>2.5</v>
      </c>
      <c r="H177" s="349">
        <f>'C-SH-4A ConsNacDerPet,99-21'!H178/42</f>
        <v>786.88095238095241</v>
      </c>
      <c r="I177" s="350">
        <f>'C-SH-4A ConsNacDerPet,99-21'!I178/42</f>
        <v>7.0714285714285712</v>
      </c>
      <c r="J177" s="344">
        <f t="shared" si="18"/>
        <v>5477.6904761904761</v>
      </c>
      <c r="O177" s="69"/>
      <c r="P177" s="12"/>
    </row>
    <row r="178" spans="2:16" ht="15" customHeight="1" x14ac:dyDescent="0.25">
      <c r="B178" s="575">
        <v>2012</v>
      </c>
      <c r="C178" s="348">
        <f>'C-SH-4A ConsNacDerPet,99-21'!C179/42</f>
        <v>133.28571428571428</v>
      </c>
      <c r="D178" s="349"/>
      <c r="E178" s="349"/>
      <c r="F178" s="349">
        <f>'C-SH-4A ConsNacDerPet,99-21'!F179/42</f>
        <v>443.85714285714283</v>
      </c>
      <c r="G178" s="349">
        <f>'C-SH-4A ConsNacDerPet,99-21'!G179/42</f>
        <v>3.0238095238095237</v>
      </c>
      <c r="H178" s="349">
        <f>'C-SH-4A ConsNacDerPet,99-21'!H179/42</f>
        <v>946.28571428571433</v>
      </c>
      <c r="I178" s="350">
        <f>'C-SH-4A ConsNacDerPet,99-21'!I179/42</f>
        <v>7.5714285714285712</v>
      </c>
      <c r="J178" s="344">
        <f t="shared" si="18"/>
        <v>5811.3809523809532</v>
      </c>
      <c r="O178" s="69"/>
      <c r="P178" s="12"/>
    </row>
    <row r="179" spans="2:16" ht="15" customHeight="1" x14ac:dyDescent="0.25">
      <c r="B179" s="575">
        <v>2013</v>
      </c>
      <c r="C179" s="348">
        <f>'C-SH-4A ConsNacDerPet,99-21'!C180/42</f>
        <v>94.142857142857139</v>
      </c>
      <c r="D179" s="349"/>
      <c r="E179" s="349"/>
      <c r="F179" s="349">
        <f>'C-SH-4A ConsNacDerPet,99-21'!F180/42</f>
        <v>449.95238095238096</v>
      </c>
      <c r="G179" s="349">
        <f>'C-SH-4A ConsNacDerPet,99-21'!G180/42</f>
        <v>2.9285714285714284</v>
      </c>
      <c r="H179" s="349">
        <f>'C-SH-4A ConsNacDerPet,99-21'!H180/42</f>
        <v>1024.8571428571429</v>
      </c>
      <c r="I179" s="350">
        <f>'C-SH-4A ConsNacDerPet,99-21'!I180/42</f>
        <v>7.0476190476190474</v>
      </c>
      <c r="J179" s="344">
        <f t="shared" si="18"/>
        <v>5817.666666666667</v>
      </c>
      <c r="O179" s="69"/>
      <c r="P179" s="12"/>
    </row>
    <row r="180" spans="2:16" ht="15" customHeight="1" x14ac:dyDescent="0.25">
      <c r="B180" s="575">
        <v>2014</v>
      </c>
      <c r="C180" s="348">
        <f>'C-SH-4A ConsNacDerPet,99-21'!C181/42</f>
        <v>74.714285714285708</v>
      </c>
      <c r="D180" s="349"/>
      <c r="E180" s="349"/>
      <c r="F180" s="349">
        <f>'C-SH-4A ConsNacDerPet,99-21'!F181/42</f>
        <v>470.04761904761904</v>
      </c>
      <c r="G180" s="349">
        <f>'C-SH-4A ConsNacDerPet,99-21'!G181/42</f>
        <v>2.7380952380952381</v>
      </c>
      <c r="H180" s="349">
        <f>'C-SH-4A ConsNacDerPet,99-21'!H181/42</f>
        <v>1125</v>
      </c>
      <c r="I180" s="350">
        <f>'C-SH-4A ConsNacDerPet,99-21'!I181/42</f>
        <v>9.9047619047619051</v>
      </c>
      <c r="J180" s="344">
        <f t="shared" si="18"/>
        <v>6425.8809523809514</v>
      </c>
      <c r="O180" s="69"/>
      <c r="P180" s="12"/>
    </row>
    <row r="181" spans="2:16" ht="15" customHeight="1" x14ac:dyDescent="0.25">
      <c r="B181" s="575">
        <v>2015</v>
      </c>
      <c r="C181" s="348">
        <f>'C-SH-4A ConsNacDerPet,99-21'!C182/42</f>
        <v>41.238095238095241</v>
      </c>
      <c r="D181" s="349"/>
      <c r="E181" s="349"/>
      <c r="F181" s="349">
        <f>'C-SH-4A ConsNacDerPet,99-21'!F182/42</f>
        <v>505.83333333333331</v>
      </c>
      <c r="G181" s="349">
        <f>'C-SH-4A ConsNacDerPet,99-21'!G182/42</f>
        <v>2.0238095238095237</v>
      </c>
      <c r="H181" s="349">
        <f>'C-SH-4A ConsNacDerPet,99-21'!H182/42</f>
        <v>1278.6190476190477</v>
      </c>
      <c r="I181" s="350">
        <f>'C-SH-4A ConsNacDerPet,99-21'!I182/42</f>
        <v>10.095238095238095</v>
      </c>
      <c r="J181" s="344">
        <f t="shared" si="18"/>
        <v>6244.0238095238092</v>
      </c>
      <c r="O181" s="69"/>
      <c r="P181" s="12"/>
    </row>
    <row r="182" spans="2:16" ht="15" customHeight="1" x14ac:dyDescent="0.25">
      <c r="B182" s="575">
        <v>2016</v>
      </c>
      <c r="C182" s="348">
        <f>'C-SH-4A ConsNacDerPet,99-21'!C183/42</f>
        <v>113.66666666666667</v>
      </c>
      <c r="D182" s="349"/>
      <c r="E182" s="349"/>
      <c r="F182" s="349">
        <f>'C-SH-4A ConsNacDerPet,99-21'!F183/42</f>
        <v>520.19047619047615</v>
      </c>
      <c r="G182" s="349">
        <f>'C-SH-4A ConsNacDerPet,99-21'!G183/42</f>
        <v>5.5714285714285712</v>
      </c>
      <c r="H182" s="349">
        <f>'C-SH-4A ConsNacDerPet,99-21'!H183/42</f>
        <v>1383.2857142857142</v>
      </c>
      <c r="I182" s="350">
        <f>'C-SH-4A ConsNacDerPet,99-21'!I183/42</f>
        <v>6.4761904761904763</v>
      </c>
      <c r="J182" s="344">
        <f t="shared" si="18"/>
        <v>6883.3571428571431</v>
      </c>
      <c r="O182" s="69"/>
      <c r="P182" s="12"/>
    </row>
    <row r="183" spans="2:16" ht="15" customHeight="1" x14ac:dyDescent="0.25">
      <c r="B183" s="575">
        <v>2017</v>
      </c>
      <c r="C183" s="348">
        <f>'C-SH-4A ConsNacDerPet,99-21'!C184/42</f>
        <v>105.64285714285714</v>
      </c>
      <c r="D183" s="349"/>
      <c r="E183" s="349"/>
      <c r="F183" s="349">
        <f>'C-SH-4A ConsNacDerPet,99-21'!F184/42</f>
        <v>549.19047619047615</v>
      </c>
      <c r="G183" s="349">
        <f>'C-SH-4A ConsNacDerPet,99-21'!G184/42</f>
        <v>5.0238095238095237</v>
      </c>
      <c r="H183" s="349">
        <f>'C-SH-4A ConsNacDerPet,99-21'!H184/42</f>
        <v>1365.4285714285713</v>
      </c>
      <c r="I183" s="350">
        <f>'C-SH-4A ConsNacDerPet,99-21'!I184/42</f>
        <v>6.9285714285714288</v>
      </c>
      <c r="J183" s="344">
        <f t="shared" si="18"/>
        <v>6834.2619047619037</v>
      </c>
      <c r="O183" s="69"/>
      <c r="P183" s="12"/>
    </row>
    <row r="184" spans="2:16" ht="15" customHeight="1" x14ac:dyDescent="0.25">
      <c r="B184" s="575">
        <v>2018</v>
      </c>
      <c r="C184" s="348">
        <f>'C-SH-4A ConsNacDerPet,99-21'!C185/42</f>
        <v>74.357142857142861</v>
      </c>
      <c r="D184" s="349"/>
      <c r="E184" s="349"/>
      <c r="F184" s="349">
        <f>'C-SH-4A ConsNacDerPet,99-21'!F185/42</f>
        <v>563.69047619047615</v>
      </c>
      <c r="G184" s="349">
        <f>'C-SH-4A ConsNacDerPet,99-21'!G185/42</f>
        <v>5.6428571428571432</v>
      </c>
      <c r="H184" s="349">
        <f>'C-SH-4A ConsNacDerPet,99-21'!H185/42</f>
        <v>1427.9761904761904</v>
      </c>
      <c r="I184" s="350">
        <f>'C-SH-4A ConsNacDerPet,99-21'!I185/42</f>
        <v>8.5952380952380949</v>
      </c>
      <c r="J184" s="344">
        <f t="shared" si="18"/>
        <v>6610.0714285714294</v>
      </c>
      <c r="O184" s="69"/>
      <c r="P184" s="12"/>
    </row>
    <row r="185" spans="2:16" ht="15" customHeight="1" x14ac:dyDescent="0.25">
      <c r="B185" s="575">
        <v>2019</v>
      </c>
      <c r="C185" s="348">
        <f>'C-SH-4A ConsNacDerPet,99-21'!C186/42</f>
        <v>89.30952380952381</v>
      </c>
      <c r="D185" s="349"/>
      <c r="E185" s="349"/>
      <c r="F185" s="349">
        <f>'C-SH-4A ConsNacDerPet,99-21'!F186/42</f>
        <v>569.16666666666663</v>
      </c>
      <c r="G185" s="349">
        <f>'C-SH-4A ConsNacDerPet,99-21'!G186/42</f>
        <v>6.333333333333333</v>
      </c>
      <c r="H185" s="349">
        <f>'C-SH-4A ConsNacDerPet,99-21'!H186/42</f>
        <v>1481.3809523809523</v>
      </c>
      <c r="I185" s="350">
        <f>'C-SH-4A ConsNacDerPet,99-21'!I186/42</f>
        <v>9.1428571428571423</v>
      </c>
      <c r="J185" s="344">
        <f t="shared" si="18"/>
        <v>6872.1904761904761</v>
      </c>
      <c r="O185" s="69"/>
      <c r="P185" s="12"/>
    </row>
    <row r="186" spans="2:16" ht="15" customHeight="1" x14ac:dyDescent="0.25">
      <c r="B186" s="575">
        <v>2020</v>
      </c>
      <c r="C186" s="348">
        <f>'C-SH-4A ConsNacDerPet,99-21'!C187/42</f>
        <v>80.714285714285708</v>
      </c>
      <c r="D186" s="349"/>
      <c r="E186" s="349"/>
      <c r="F186" s="349">
        <f>'C-SH-4A ConsNacDerPet,99-21'!F187/42</f>
        <v>596.71428571428567</v>
      </c>
      <c r="G186" s="349">
        <f>'C-SH-4A ConsNacDerPet,99-21'!G187/42</f>
        <v>3.9285714285714284</v>
      </c>
      <c r="H186" s="349">
        <f>'C-SH-4A ConsNacDerPet,99-21'!H187/42</f>
        <v>1304.0952380952381</v>
      </c>
      <c r="I186" s="350">
        <f>'C-SH-4A ConsNacDerPet,99-21'!I187/42</f>
        <v>7.5476190476190474</v>
      </c>
      <c r="J186" s="344">
        <f t="shared" si="18"/>
        <v>6007.7142857142853</v>
      </c>
      <c r="O186" s="69"/>
      <c r="P186" s="12"/>
    </row>
    <row r="187" spans="2:16" ht="15" customHeight="1" x14ac:dyDescent="0.25">
      <c r="B187" s="575">
        <v>2021</v>
      </c>
      <c r="C187" s="348">
        <f>'C-SH-4A ConsNacDerPet,99-21'!C188/42</f>
        <v>60.452380952380949</v>
      </c>
      <c r="D187" s="349"/>
      <c r="E187" s="349"/>
      <c r="F187" s="349">
        <f>'C-SH-4A ConsNacDerPet,99-21'!F188/42</f>
        <v>559.23809523809518</v>
      </c>
      <c r="G187" s="349">
        <f>'C-SH-4A ConsNacDerPet,99-21'!G188/42</f>
        <v>4.166666666666667</v>
      </c>
      <c r="H187" s="349">
        <f>'C-SH-4A ConsNacDerPet,99-21'!H188/42</f>
        <v>568.5</v>
      </c>
      <c r="I187" s="350">
        <f>'C-SH-4A ConsNacDerPet,99-21'!I188/42</f>
        <v>8.7619047619047628</v>
      </c>
      <c r="J187" s="344">
        <f t="shared" si="18"/>
        <v>4827.2142857142853</v>
      </c>
      <c r="O187" s="69"/>
      <c r="P187" s="12"/>
    </row>
    <row r="188" spans="2:16" ht="15" customHeight="1" x14ac:dyDescent="0.25">
      <c r="B188" s="577"/>
      <c r="C188" s="348"/>
      <c r="D188" s="349"/>
      <c r="E188" s="349"/>
      <c r="F188" s="349"/>
      <c r="G188" s="349"/>
      <c r="H188" s="349"/>
      <c r="I188" s="350"/>
      <c r="J188" s="320"/>
      <c r="O188" s="69"/>
      <c r="P188" s="12"/>
    </row>
    <row r="189" spans="2:16" ht="15" customHeight="1" x14ac:dyDescent="0.25">
      <c r="B189" s="570" t="s">
        <v>116</v>
      </c>
      <c r="C189" s="348"/>
      <c r="D189" s="349"/>
      <c r="E189" s="349"/>
      <c r="F189" s="349"/>
      <c r="G189" s="349"/>
      <c r="H189" s="349"/>
      <c r="I189" s="350"/>
      <c r="J189" s="320"/>
      <c r="O189" s="69"/>
      <c r="P189" s="12"/>
    </row>
    <row r="190" spans="2:16" ht="15" customHeight="1" x14ac:dyDescent="0.25">
      <c r="B190" s="575">
        <v>1999</v>
      </c>
      <c r="C190" s="348">
        <f>'C-SH-4A ConsNacDerPet,99-21'!C191/42</f>
        <v>75</v>
      </c>
      <c r="D190" s="349">
        <f>'C-SH-4A ConsNacDerPet,99-21'!D191/42</f>
        <v>0.5714285714285714</v>
      </c>
      <c r="E190" s="349"/>
      <c r="F190" s="349">
        <f>'C-SH-4A ConsNacDerPet,99-21'!F191/42</f>
        <v>279.33333333333331</v>
      </c>
      <c r="G190" s="349">
        <f>'C-SH-4A ConsNacDerPet,99-21'!G191/42</f>
        <v>3.4047619047619047</v>
      </c>
      <c r="H190" s="349"/>
      <c r="I190" s="350"/>
      <c r="J190" s="344">
        <f t="shared" ref="J190:J212" si="19">SUM(C61:J61,C190:I190)</f>
        <v>2979.1190476190477</v>
      </c>
      <c r="O190" s="69"/>
      <c r="P190" s="12"/>
    </row>
    <row r="191" spans="2:16" ht="15" customHeight="1" x14ac:dyDescent="0.25">
      <c r="B191" s="575">
        <v>2000</v>
      </c>
      <c r="C191" s="348">
        <f>'C-SH-4A ConsNacDerPet,99-21'!C192/42</f>
        <v>48.833333333333336</v>
      </c>
      <c r="D191" s="349">
        <f>'C-SH-4A ConsNacDerPet,99-21'!D192/42</f>
        <v>0.59523809523809523</v>
      </c>
      <c r="E191" s="349"/>
      <c r="F191" s="349">
        <f>'C-SH-4A ConsNacDerPet,99-21'!F192/42</f>
        <v>274.95238095238096</v>
      </c>
      <c r="G191" s="349">
        <f>'C-SH-4A ConsNacDerPet,99-21'!G192/42</f>
        <v>3.0714285714285716</v>
      </c>
      <c r="H191" s="349"/>
      <c r="I191" s="350"/>
      <c r="J191" s="344">
        <f t="shared" si="19"/>
        <v>2686.0714285714294</v>
      </c>
      <c r="O191" s="69"/>
      <c r="P191" s="12"/>
    </row>
    <row r="192" spans="2:16" ht="15" customHeight="1" x14ac:dyDescent="0.25">
      <c r="B192" s="575">
        <v>2001</v>
      </c>
      <c r="C192" s="348">
        <f>'C-SH-4A ConsNacDerPet,99-21'!C193/42</f>
        <v>55.666666666666664</v>
      </c>
      <c r="D192" s="349">
        <f>'C-SH-4A ConsNacDerPet,99-21'!D193/42</f>
        <v>0.35714285714285715</v>
      </c>
      <c r="E192" s="349"/>
      <c r="F192" s="349">
        <f>'C-SH-4A ConsNacDerPet,99-21'!F193/42</f>
        <v>292.21428571428572</v>
      </c>
      <c r="G192" s="349">
        <f>'C-SH-4A ConsNacDerPet,99-21'!G193/42</f>
        <v>26.523809523809526</v>
      </c>
      <c r="H192" s="349"/>
      <c r="I192" s="350"/>
      <c r="J192" s="344">
        <f t="shared" si="19"/>
        <v>3151.8095238095239</v>
      </c>
      <c r="O192" s="69"/>
      <c r="P192" s="12"/>
    </row>
    <row r="193" spans="2:16" ht="15" customHeight="1" x14ac:dyDescent="0.25">
      <c r="B193" s="575">
        <v>2002</v>
      </c>
      <c r="C193" s="348">
        <f>'C-SH-4A ConsNacDerPet,99-21'!C194/42</f>
        <v>35.166666666666664</v>
      </c>
      <c r="D193" s="349">
        <f>'C-SH-4A ConsNacDerPet,99-21'!D194/42</f>
        <v>0.23809523809523808</v>
      </c>
      <c r="E193" s="349"/>
      <c r="F193" s="349">
        <f>'C-SH-4A ConsNacDerPet,99-21'!F194/42</f>
        <v>284.33333333333331</v>
      </c>
      <c r="G193" s="349">
        <f>'C-SH-4A ConsNacDerPet,99-21'!G194/42</f>
        <v>2.7380952380952381</v>
      </c>
      <c r="H193" s="349"/>
      <c r="I193" s="350"/>
      <c r="J193" s="344">
        <f t="shared" si="19"/>
        <v>2991.3809523809527</v>
      </c>
      <c r="O193" s="69"/>
      <c r="P193" s="12"/>
    </row>
    <row r="194" spans="2:16" ht="15" customHeight="1" x14ac:dyDescent="0.25">
      <c r="B194" s="575">
        <v>2003</v>
      </c>
      <c r="C194" s="348">
        <f>'C-SH-4A ConsNacDerPet,99-21'!C195/42</f>
        <v>41.738095238095241</v>
      </c>
      <c r="D194" s="349">
        <f>'C-SH-4A ConsNacDerPet,99-21'!D195/42</f>
        <v>0.11904761904761904</v>
      </c>
      <c r="E194" s="349"/>
      <c r="F194" s="349">
        <f>'C-SH-4A ConsNacDerPet,99-21'!F195/42</f>
        <v>281.21428571428572</v>
      </c>
      <c r="G194" s="349">
        <f>'C-SH-4A ConsNacDerPet,99-21'!G195/42</f>
        <v>3.8095238095238093</v>
      </c>
      <c r="H194" s="349">
        <f>'C-SH-4A ConsNacDerPet,99-21'!H195/42</f>
        <v>324.97619047619048</v>
      </c>
      <c r="I194" s="350"/>
      <c r="J194" s="344">
        <f t="shared" si="19"/>
        <v>3818.2619047619055</v>
      </c>
      <c r="O194" s="69"/>
      <c r="P194" s="12"/>
    </row>
    <row r="195" spans="2:16" ht="15" customHeight="1" x14ac:dyDescent="0.25">
      <c r="B195" s="575">
        <v>2004</v>
      </c>
      <c r="C195" s="348">
        <f>'C-SH-4A ConsNacDerPet,99-21'!C196/42</f>
        <v>52.69047619047619</v>
      </c>
      <c r="D195" s="349"/>
      <c r="E195" s="349"/>
      <c r="F195" s="349">
        <f>'C-SH-4A ConsNacDerPet,99-21'!F196/42</f>
        <v>306.54761904761904</v>
      </c>
      <c r="G195" s="349">
        <f>'C-SH-4A ConsNacDerPet,99-21'!G196/42</f>
        <v>2.1428571428571428</v>
      </c>
      <c r="H195" s="349">
        <f>'C-SH-4A ConsNacDerPet,99-21'!H196/42</f>
        <v>308.38095238095241</v>
      </c>
      <c r="I195" s="350">
        <f>'C-SH-4A ConsNacDerPet,99-21'!I196/42</f>
        <v>14.976190476190476</v>
      </c>
      <c r="J195" s="344">
        <f t="shared" si="19"/>
        <v>3559.166666666667</v>
      </c>
      <c r="O195" s="69"/>
      <c r="P195" s="12"/>
    </row>
    <row r="196" spans="2:16" ht="15" customHeight="1" x14ac:dyDescent="0.25">
      <c r="B196" s="575">
        <v>2005</v>
      </c>
      <c r="C196" s="348">
        <f>'C-SH-4A ConsNacDerPet,99-21'!C197/42</f>
        <v>38.571428571428569</v>
      </c>
      <c r="D196" s="349"/>
      <c r="E196" s="349"/>
      <c r="F196" s="349">
        <f>'C-SH-4A ConsNacDerPet,99-21'!F197/42</f>
        <v>329.40476190476193</v>
      </c>
      <c r="G196" s="349">
        <f>'C-SH-4A ConsNacDerPet,99-21'!G197/42</f>
        <v>2.7380952380952381</v>
      </c>
      <c r="H196" s="349">
        <f>'C-SH-4A ConsNacDerPet,99-21'!H197/42</f>
        <v>332.5</v>
      </c>
      <c r="I196" s="350">
        <f>'C-SH-4A ConsNacDerPet,99-21'!I197/42</f>
        <v>16.214285714285715</v>
      </c>
      <c r="J196" s="344">
        <f t="shared" si="19"/>
        <v>3681.4047619047619</v>
      </c>
      <c r="O196" s="69"/>
      <c r="P196" s="12"/>
    </row>
    <row r="197" spans="2:16" ht="15" customHeight="1" x14ac:dyDescent="0.25">
      <c r="B197" s="575">
        <v>2006</v>
      </c>
      <c r="C197" s="348">
        <f>'C-SH-4A ConsNacDerPet,99-21'!C198/42</f>
        <v>70.666666666666671</v>
      </c>
      <c r="D197" s="349"/>
      <c r="E197" s="349"/>
      <c r="F197" s="349">
        <f>'C-SH-4A ConsNacDerPet,99-21'!F198/42</f>
        <v>361.57142857142856</v>
      </c>
      <c r="G197" s="349">
        <f>'C-SH-4A ConsNacDerPet,99-21'!G198/42</f>
        <v>2.1666666666666665</v>
      </c>
      <c r="H197" s="349">
        <f>'C-SH-4A ConsNacDerPet,99-21'!H198/42</f>
        <v>391.02380952380952</v>
      </c>
      <c r="I197" s="350">
        <f>'C-SH-4A ConsNacDerPet,99-21'!I198/42</f>
        <v>22.523809523809526</v>
      </c>
      <c r="J197" s="344">
        <f t="shared" si="19"/>
        <v>3742.4285714285711</v>
      </c>
      <c r="O197" s="69"/>
      <c r="P197" s="12"/>
    </row>
    <row r="198" spans="2:16" ht="15" customHeight="1" x14ac:dyDescent="0.25">
      <c r="B198" s="575">
        <v>2007</v>
      </c>
      <c r="C198" s="348">
        <f>'C-SH-4A ConsNacDerPet,99-21'!C199/42</f>
        <v>63.452380952380949</v>
      </c>
      <c r="D198" s="349"/>
      <c r="E198" s="349"/>
      <c r="F198" s="349">
        <f>'C-SH-4A ConsNacDerPet,99-21'!F199/42</f>
        <v>379.95238095238096</v>
      </c>
      <c r="G198" s="349">
        <f>'C-SH-4A ConsNacDerPet,99-21'!G199/42</f>
        <v>2.6666666666666665</v>
      </c>
      <c r="H198" s="349">
        <f>'C-SH-4A ConsNacDerPet,99-21'!H199/42</f>
        <v>472.33333333333331</v>
      </c>
      <c r="I198" s="350">
        <f>'C-SH-4A ConsNacDerPet,99-21'!I199/42</f>
        <v>21.214285714285715</v>
      </c>
      <c r="J198" s="344">
        <f t="shared" si="19"/>
        <v>4373.6904761904761</v>
      </c>
      <c r="O198" s="69"/>
      <c r="P198" s="12"/>
    </row>
    <row r="199" spans="2:16" ht="15" customHeight="1" x14ac:dyDescent="0.25">
      <c r="B199" s="575">
        <v>2008</v>
      </c>
      <c r="C199" s="348">
        <f>'C-SH-4A ConsNacDerPet,99-21'!C200/42</f>
        <v>85.523809523809518</v>
      </c>
      <c r="D199" s="349"/>
      <c r="E199" s="349"/>
      <c r="F199" s="349">
        <f>'C-SH-4A ConsNacDerPet,99-21'!F200/42</f>
        <v>393.88095238095241</v>
      </c>
      <c r="G199" s="349">
        <f>'C-SH-4A ConsNacDerPet,99-21'!G200/42</f>
        <v>2.1666666666666665</v>
      </c>
      <c r="H199" s="349">
        <f>'C-SH-4A ConsNacDerPet,99-21'!H200/42</f>
        <v>551.04761904761904</v>
      </c>
      <c r="I199" s="350">
        <f>'C-SH-4A ConsNacDerPet,99-21'!I200/42</f>
        <v>13.547619047619047</v>
      </c>
      <c r="J199" s="344">
        <f t="shared" si="19"/>
        <v>4738.1190476190486</v>
      </c>
      <c r="O199" s="69"/>
      <c r="P199" s="12"/>
    </row>
    <row r="200" spans="2:16" ht="15" customHeight="1" x14ac:dyDescent="0.25">
      <c r="B200" s="575">
        <v>2009</v>
      </c>
      <c r="C200" s="348">
        <f>'C-SH-4A ConsNacDerPet,99-21'!C201/42</f>
        <v>87.761904761904759</v>
      </c>
      <c r="D200" s="349"/>
      <c r="E200" s="349"/>
      <c r="F200" s="349">
        <f>'C-SH-4A ConsNacDerPet,99-21'!F201/42</f>
        <v>395.92857142857144</v>
      </c>
      <c r="G200" s="349">
        <f>'C-SH-4A ConsNacDerPet,99-21'!G201/42</f>
        <v>2.1190476190476191</v>
      </c>
      <c r="H200" s="349">
        <f>'C-SH-4A ConsNacDerPet,99-21'!H201/42</f>
        <v>616.69047619047615</v>
      </c>
      <c r="I200" s="350">
        <f>'C-SH-4A ConsNacDerPet,99-21'!I201/42</f>
        <v>12.795238095238094</v>
      </c>
      <c r="J200" s="344">
        <f t="shared" si="19"/>
        <v>4499.8428571428567</v>
      </c>
      <c r="O200" s="69"/>
      <c r="P200" s="12"/>
    </row>
    <row r="201" spans="2:16" ht="15" customHeight="1" x14ac:dyDescent="0.25">
      <c r="B201" s="575">
        <v>2010</v>
      </c>
      <c r="C201" s="348">
        <f>'C-SH-4A ConsNacDerPet,99-21'!C202/42</f>
        <v>63.61904761904762</v>
      </c>
      <c r="D201" s="349"/>
      <c r="E201" s="349"/>
      <c r="F201" s="349">
        <f>'C-SH-4A ConsNacDerPet,99-21'!F202/42</f>
        <v>350</v>
      </c>
      <c r="G201" s="349">
        <f>'C-SH-4A ConsNacDerPet,99-21'!G202/42</f>
        <v>2.1428571428571428</v>
      </c>
      <c r="H201" s="349">
        <f>'C-SH-4A ConsNacDerPet,99-21'!H202/42</f>
        <v>667.26190476190482</v>
      </c>
      <c r="I201" s="350">
        <f>'C-SH-4A ConsNacDerPet,99-21'!I202/42</f>
        <v>14.714285714285714</v>
      </c>
      <c r="J201" s="344">
        <f t="shared" si="19"/>
        <v>5050.8095238095229</v>
      </c>
      <c r="O201" s="69"/>
      <c r="P201" s="12"/>
    </row>
    <row r="202" spans="2:16" ht="15" customHeight="1" x14ac:dyDescent="0.25">
      <c r="B202" s="575">
        <v>2011</v>
      </c>
      <c r="C202" s="348">
        <f>'C-SH-4A ConsNacDerPet,99-21'!C203/42</f>
        <v>149.64285714285714</v>
      </c>
      <c r="D202" s="349"/>
      <c r="E202" s="349"/>
      <c r="F202" s="349">
        <f>'C-SH-4A ConsNacDerPet,99-21'!F203/42</f>
        <v>433.76190476190476</v>
      </c>
      <c r="G202" s="349">
        <f>'C-SH-4A ConsNacDerPet,99-21'!G203/42</f>
        <v>2.3571428571428572</v>
      </c>
      <c r="H202" s="349">
        <f>'C-SH-4A ConsNacDerPet,99-21'!H203/42</f>
        <v>766.26190476190482</v>
      </c>
      <c r="I202" s="350">
        <f>'C-SH-4A ConsNacDerPet,99-21'!I203/42</f>
        <v>8.4761904761904763</v>
      </c>
      <c r="J202" s="344">
        <f t="shared" si="19"/>
        <v>5991.3809523809523</v>
      </c>
      <c r="O202" s="69"/>
      <c r="P202" s="12"/>
    </row>
    <row r="203" spans="2:16" ht="15" customHeight="1" x14ac:dyDescent="0.25">
      <c r="B203" s="575">
        <v>2012</v>
      </c>
      <c r="C203" s="348">
        <f>'C-SH-4A ConsNacDerPet,99-21'!C204/42</f>
        <v>127</v>
      </c>
      <c r="D203" s="349"/>
      <c r="E203" s="349"/>
      <c r="F203" s="349">
        <f>'C-SH-4A ConsNacDerPet,99-21'!F204/42</f>
        <v>446.64285714285717</v>
      </c>
      <c r="G203" s="349">
        <f>'C-SH-4A ConsNacDerPet,99-21'!G204/42</f>
        <v>2.5714285714285716</v>
      </c>
      <c r="H203" s="349">
        <f>'C-SH-4A ConsNacDerPet,99-21'!H204/42</f>
        <v>916.66666666666663</v>
      </c>
      <c r="I203" s="350">
        <f>'C-SH-4A ConsNacDerPet,99-21'!I204/42</f>
        <v>7.0714285714285712</v>
      </c>
      <c r="J203" s="344">
        <f t="shared" si="19"/>
        <v>5842.4047619047615</v>
      </c>
      <c r="O203" s="69"/>
      <c r="P203" s="12"/>
    </row>
    <row r="204" spans="2:16" ht="15" customHeight="1" x14ac:dyDescent="0.25">
      <c r="B204" s="575">
        <v>2013</v>
      </c>
      <c r="C204" s="348">
        <f>'C-SH-4A ConsNacDerPet,99-21'!C205/42</f>
        <v>83.88095238095238</v>
      </c>
      <c r="D204" s="349"/>
      <c r="E204" s="349"/>
      <c r="F204" s="349">
        <f>'C-SH-4A ConsNacDerPet,99-21'!F205/42</f>
        <v>471.8095238095238</v>
      </c>
      <c r="G204" s="349">
        <f>'C-SH-4A ConsNacDerPet,99-21'!G205/42</f>
        <v>2.5238095238095237</v>
      </c>
      <c r="H204" s="349">
        <f>'C-SH-4A ConsNacDerPet,99-21'!H205/42</f>
        <v>1004.2380952380952</v>
      </c>
      <c r="I204" s="350">
        <f>'C-SH-4A ConsNacDerPet,99-21'!I205/42</f>
        <v>7.166666666666667</v>
      </c>
      <c r="J204" s="344">
        <f t="shared" si="19"/>
        <v>6171.6904761904761</v>
      </c>
      <c r="O204" s="69"/>
      <c r="P204" s="12"/>
    </row>
    <row r="205" spans="2:16" ht="15" customHeight="1" x14ac:dyDescent="0.25">
      <c r="B205" s="575">
        <v>2014</v>
      </c>
      <c r="C205" s="348">
        <f>'C-SH-4A ConsNacDerPet,99-21'!C206/42</f>
        <v>94.61904761904762</v>
      </c>
      <c r="D205" s="349"/>
      <c r="E205" s="349"/>
      <c r="F205" s="349">
        <f>'C-SH-4A ConsNacDerPet,99-21'!F206/42</f>
        <v>546.14285714285711</v>
      </c>
      <c r="G205" s="349">
        <f>'C-SH-4A ConsNacDerPet,99-21'!G206/42</f>
        <v>5.7857142857142856</v>
      </c>
      <c r="H205" s="349">
        <f>'C-SH-4A ConsNacDerPet,99-21'!H206/42</f>
        <v>1123.6428571428571</v>
      </c>
      <c r="I205" s="350">
        <f>'C-SH-4A ConsNacDerPet,99-21'!I206/42</f>
        <v>7.0714285714285712</v>
      </c>
      <c r="J205" s="344">
        <f t="shared" si="19"/>
        <v>6694.6190476190477</v>
      </c>
      <c r="O205" s="69"/>
      <c r="P205" s="12"/>
    </row>
    <row r="206" spans="2:16" ht="15" customHeight="1" x14ac:dyDescent="0.25">
      <c r="B206" s="575">
        <v>2015</v>
      </c>
      <c r="C206" s="348">
        <f>'C-SH-4A ConsNacDerPet,99-21'!C207/42</f>
        <v>88.88095238095238</v>
      </c>
      <c r="D206" s="349"/>
      <c r="E206" s="349"/>
      <c r="F206" s="349">
        <f>'C-SH-4A ConsNacDerPet,99-21'!F207/42</f>
        <v>503.07142857142856</v>
      </c>
      <c r="G206" s="349">
        <f>'C-SH-4A ConsNacDerPet,99-21'!G207/42</f>
        <v>2.7619047619047619</v>
      </c>
      <c r="H206" s="349">
        <f>'C-SH-4A ConsNacDerPet,99-21'!H207/42</f>
        <v>1218.7619047619048</v>
      </c>
      <c r="I206" s="350">
        <f>'C-SH-4A ConsNacDerPet,99-21'!I207/42</f>
        <v>9.5</v>
      </c>
      <c r="J206" s="344">
        <f t="shared" si="19"/>
        <v>6416.3809523809523</v>
      </c>
      <c r="O206" s="69"/>
      <c r="P206" s="12"/>
    </row>
    <row r="207" spans="2:16" ht="15" customHeight="1" x14ac:dyDescent="0.25">
      <c r="B207" s="575">
        <v>2016</v>
      </c>
      <c r="C207" s="348">
        <f>'C-SH-4A ConsNacDerPet,99-21'!C208/42</f>
        <v>91.833333333333329</v>
      </c>
      <c r="D207" s="349"/>
      <c r="E207" s="349"/>
      <c r="F207" s="349">
        <f>'C-SH-4A ConsNacDerPet,99-21'!F208/42</f>
        <v>527.97619047619048</v>
      </c>
      <c r="G207" s="349">
        <f>'C-SH-4A ConsNacDerPet,99-21'!G208/42</f>
        <v>5.2857142857142856</v>
      </c>
      <c r="H207" s="349">
        <f>'C-SH-4A ConsNacDerPet,99-21'!H208/42</f>
        <v>1312.2380952380952</v>
      </c>
      <c r="I207" s="350">
        <f>'C-SH-4A ConsNacDerPet,99-21'!I208/42</f>
        <v>8.5476190476190474</v>
      </c>
      <c r="J207" s="344">
        <f t="shared" si="19"/>
        <v>7022.9761904761917</v>
      </c>
      <c r="O207" s="69"/>
      <c r="P207" s="12"/>
    </row>
    <row r="208" spans="2:16" ht="15" customHeight="1" x14ac:dyDescent="0.25">
      <c r="B208" s="575">
        <v>2017</v>
      </c>
      <c r="C208" s="348">
        <f>'C-SH-4A ConsNacDerPet,99-21'!C209/42</f>
        <v>114.92857142857143</v>
      </c>
      <c r="D208" s="349"/>
      <c r="E208" s="349"/>
      <c r="F208" s="349">
        <f>'C-SH-4A ConsNacDerPet,99-21'!F209/42</f>
        <v>546.71428571428567</v>
      </c>
      <c r="G208" s="349">
        <f>'C-SH-4A ConsNacDerPet,99-21'!G209/42</f>
        <v>4.7619047619047619</v>
      </c>
      <c r="H208" s="349">
        <f>'C-SH-4A ConsNacDerPet,99-21'!H209/42</f>
        <v>1327.0714285714287</v>
      </c>
      <c r="I208" s="350">
        <f>'C-SH-4A ConsNacDerPet,99-21'!I209/42</f>
        <v>9.3333333333333339</v>
      </c>
      <c r="J208" s="344">
        <f t="shared" si="19"/>
        <v>7069.1904761904752</v>
      </c>
      <c r="O208" s="69"/>
      <c r="P208" s="12"/>
    </row>
    <row r="209" spans="2:16" ht="15" customHeight="1" x14ac:dyDescent="0.25">
      <c r="B209" s="575">
        <v>2018</v>
      </c>
      <c r="C209" s="348">
        <f>'C-SH-4A ConsNacDerPet,99-21'!C210/42</f>
        <v>63.642857142857146</v>
      </c>
      <c r="D209" s="349"/>
      <c r="E209" s="349"/>
      <c r="F209" s="349">
        <f>'C-SH-4A ConsNacDerPet,99-21'!F210/42</f>
        <v>568.76190476190482</v>
      </c>
      <c r="G209" s="349">
        <f>'C-SH-4A ConsNacDerPet,99-21'!G210/42</f>
        <v>5.5476190476190474</v>
      </c>
      <c r="H209" s="349">
        <f>'C-SH-4A ConsNacDerPet,99-21'!H210/42</f>
        <v>1400.9761904761904</v>
      </c>
      <c r="I209" s="350">
        <f>'C-SH-4A ConsNacDerPet,99-21'!I210/42</f>
        <v>8.3095238095238102</v>
      </c>
      <c r="J209" s="344">
        <f t="shared" si="19"/>
        <v>6794.8095238095239</v>
      </c>
      <c r="O209" s="69"/>
      <c r="P209" s="12"/>
    </row>
    <row r="210" spans="2:16" ht="15" customHeight="1" x14ac:dyDescent="0.25">
      <c r="B210" s="575">
        <v>2019</v>
      </c>
      <c r="C210" s="348">
        <f>'C-SH-4A ConsNacDerPet,99-21'!C211/42</f>
        <v>86.285714285714292</v>
      </c>
      <c r="D210" s="349"/>
      <c r="E210" s="349"/>
      <c r="F210" s="349">
        <f>'C-SH-4A ConsNacDerPet,99-21'!F211/42</f>
        <v>576.52380952380952</v>
      </c>
      <c r="G210" s="349">
        <f>'C-SH-4A ConsNacDerPet,99-21'!G211/42</f>
        <v>5.5952380952380949</v>
      </c>
      <c r="H210" s="349">
        <f>'C-SH-4A ConsNacDerPet,99-21'!H211/42</f>
        <v>1408.0714285714287</v>
      </c>
      <c r="I210" s="350">
        <f>'C-SH-4A ConsNacDerPet,99-21'!I211/42</f>
        <v>8.5238095238095237</v>
      </c>
      <c r="J210" s="344">
        <f t="shared" si="19"/>
        <v>6856.1190476190477</v>
      </c>
      <c r="O210" s="69"/>
      <c r="P210" s="12"/>
    </row>
    <row r="211" spans="2:16" ht="15" customHeight="1" x14ac:dyDescent="0.25">
      <c r="B211" s="575">
        <v>2020</v>
      </c>
      <c r="C211" s="348">
        <f>'C-SH-4A ConsNacDerPet,99-21'!C212/42</f>
        <v>6.7380952380952381</v>
      </c>
      <c r="D211" s="349"/>
      <c r="E211" s="349"/>
      <c r="F211" s="349">
        <f>'C-SH-4A ConsNacDerPet,99-21'!F212/42</f>
        <v>499.40476190476193</v>
      </c>
      <c r="G211" s="349">
        <f>'C-SH-4A ConsNacDerPet,99-21'!G212/42</f>
        <v>1.7142857142857142</v>
      </c>
      <c r="H211" s="349">
        <f>'C-SH-4A ConsNacDerPet,99-21'!H212/42</f>
        <v>104.4047619047619</v>
      </c>
      <c r="I211" s="350">
        <f>'C-SH-4A ConsNacDerPet,99-21'!I212/42</f>
        <v>4.3571428571428568</v>
      </c>
      <c r="J211" s="344">
        <f t="shared" si="19"/>
        <v>2900.2142857142862</v>
      </c>
      <c r="O211" s="69"/>
      <c r="P211" s="12"/>
    </row>
    <row r="212" spans="2:16" ht="15" customHeight="1" x14ac:dyDescent="0.25">
      <c r="B212" s="575">
        <v>2021</v>
      </c>
      <c r="C212" s="348">
        <f>'C-SH-4A ConsNacDerPet,99-21'!C213/42</f>
        <v>54.38095238095238</v>
      </c>
      <c r="D212" s="349"/>
      <c r="E212" s="349"/>
      <c r="F212" s="349">
        <f>'C-SH-4A ConsNacDerPet,99-21'!F213/42</f>
        <v>578.59523809523807</v>
      </c>
      <c r="G212" s="349">
        <f>'C-SH-4A ConsNacDerPet,99-21'!G213/42</f>
        <v>4.6428571428571432</v>
      </c>
      <c r="H212" s="349">
        <f>'C-SH-4A ConsNacDerPet,99-21'!H213/42</f>
        <v>640.69047619047615</v>
      </c>
      <c r="I212" s="350">
        <f>'C-SH-4A ConsNacDerPet,99-21'!I213/42</f>
        <v>9.2380952380952372</v>
      </c>
      <c r="J212" s="344">
        <f t="shared" si="19"/>
        <v>5344.0952380952376</v>
      </c>
      <c r="O212" s="69"/>
      <c r="P212" s="12"/>
    </row>
    <row r="213" spans="2:16" ht="15" customHeight="1" x14ac:dyDescent="0.25">
      <c r="B213" s="577"/>
      <c r="C213" s="348"/>
      <c r="D213" s="349"/>
      <c r="E213" s="349"/>
      <c r="F213" s="349"/>
      <c r="G213" s="349"/>
      <c r="H213" s="349"/>
      <c r="I213" s="350"/>
      <c r="J213" s="320"/>
      <c r="O213" s="69"/>
      <c r="P213" s="12"/>
    </row>
    <row r="214" spans="2:16" ht="15" customHeight="1" x14ac:dyDescent="0.25">
      <c r="B214" s="570" t="s">
        <v>117</v>
      </c>
      <c r="C214" s="348"/>
      <c r="D214" s="349"/>
      <c r="E214" s="349"/>
      <c r="F214" s="349"/>
      <c r="G214" s="349"/>
      <c r="H214" s="349"/>
      <c r="I214" s="350"/>
      <c r="J214" s="320"/>
      <c r="O214" s="69"/>
      <c r="P214" s="12"/>
    </row>
    <row r="215" spans="2:16" ht="15" customHeight="1" x14ac:dyDescent="0.25">
      <c r="B215" s="575">
        <v>1999</v>
      </c>
      <c r="C215" s="348">
        <f>'C-SH-4A ConsNacDerPet,99-21'!C216/42</f>
        <v>60.476190476190474</v>
      </c>
      <c r="D215" s="349">
        <f>'C-SH-4A ConsNacDerPet,99-21'!D216/42</f>
        <v>0.45238095238095238</v>
      </c>
      <c r="E215" s="349"/>
      <c r="F215" s="349">
        <f>'C-SH-4A ConsNacDerPet,99-21'!F216/42</f>
        <v>295.71428571428572</v>
      </c>
      <c r="G215" s="349">
        <f>'C-SH-4A ConsNacDerPet,99-21'!G216/42</f>
        <v>4.166666666666667</v>
      </c>
      <c r="H215" s="349"/>
      <c r="I215" s="350"/>
      <c r="J215" s="344">
        <f t="shared" ref="J215:J237" si="20">SUM(C86:J86,C215:I215)</f>
        <v>3045.2142857142849</v>
      </c>
      <c r="O215" s="69"/>
      <c r="P215" s="12"/>
    </row>
    <row r="216" spans="2:16" ht="15" customHeight="1" x14ac:dyDescent="0.25">
      <c r="B216" s="575">
        <v>2000</v>
      </c>
      <c r="C216" s="348">
        <f>'C-SH-4A ConsNacDerPet,99-21'!C217/42</f>
        <v>61.476190476190474</v>
      </c>
      <c r="D216" s="349">
        <f>'C-SH-4A ConsNacDerPet,99-21'!D217/42</f>
        <v>0.47619047619047616</v>
      </c>
      <c r="E216" s="349"/>
      <c r="F216" s="349">
        <f>'C-SH-4A ConsNacDerPet,99-21'!F217/42</f>
        <v>297.04761904761904</v>
      </c>
      <c r="G216" s="349">
        <f>'C-SH-4A ConsNacDerPet,99-21'!G217/42</f>
        <v>3.8095238095238093</v>
      </c>
      <c r="H216" s="349"/>
      <c r="I216" s="350"/>
      <c r="J216" s="344">
        <f t="shared" si="20"/>
        <v>2488.6904761904761</v>
      </c>
      <c r="O216" s="69"/>
      <c r="P216" s="12"/>
    </row>
    <row r="217" spans="2:16" ht="15" customHeight="1" x14ac:dyDescent="0.25">
      <c r="B217" s="575">
        <v>2001</v>
      </c>
      <c r="C217" s="348">
        <f>'C-SH-4A ConsNacDerPet,99-21'!C218/42</f>
        <v>34.952380952380949</v>
      </c>
      <c r="D217" s="349">
        <f>'C-SH-4A ConsNacDerPet,99-21'!D218/42</f>
        <v>0.35714285714285715</v>
      </c>
      <c r="E217" s="349"/>
      <c r="F217" s="349">
        <f>'C-SH-4A ConsNacDerPet,99-21'!F218/42</f>
        <v>289.52380952380952</v>
      </c>
      <c r="G217" s="349">
        <f>'C-SH-4A ConsNacDerPet,99-21'!G218/42</f>
        <v>3.9285714285714284</v>
      </c>
      <c r="H217" s="349"/>
      <c r="I217" s="350"/>
      <c r="J217" s="344">
        <f t="shared" si="20"/>
        <v>3010.8095238095234</v>
      </c>
      <c r="O217" s="69"/>
      <c r="P217" s="12"/>
    </row>
    <row r="218" spans="2:16" ht="15" customHeight="1" x14ac:dyDescent="0.25">
      <c r="B218" s="575">
        <v>2002</v>
      </c>
      <c r="C218" s="348">
        <f>'C-SH-4A ConsNacDerPet,99-21'!C219/42</f>
        <v>36.88095238095238</v>
      </c>
      <c r="D218" s="349">
        <f>'C-SH-4A ConsNacDerPet,99-21'!D219/42</f>
        <v>0.35714285714285715</v>
      </c>
      <c r="E218" s="349"/>
      <c r="F218" s="349">
        <f>'C-SH-4A ConsNacDerPet,99-21'!F219/42</f>
        <v>298.64285714285717</v>
      </c>
      <c r="G218" s="349">
        <f>'C-SH-4A ConsNacDerPet,99-21'!G219/42</f>
        <v>3.3095238095238093</v>
      </c>
      <c r="H218" s="349"/>
      <c r="I218" s="350"/>
      <c r="J218" s="344">
        <f t="shared" si="20"/>
        <v>2950.0238095238096</v>
      </c>
      <c r="O218" s="69"/>
      <c r="P218" s="12"/>
    </row>
    <row r="219" spans="2:16" ht="15" customHeight="1" x14ac:dyDescent="0.25">
      <c r="B219" s="575">
        <v>2003</v>
      </c>
      <c r="C219" s="348">
        <f>'C-SH-4A ConsNacDerPet,99-21'!C220/42</f>
        <v>38.5</v>
      </c>
      <c r="D219" s="349">
        <f>'C-SH-4A ConsNacDerPet,99-21'!D220/42</f>
        <v>0.23809523809523808</v>
      </c>
      <c r="E219" s="349"/>
      <c r="F219" s="349">
        <f>'C-SH-4A ConsNacDerPet,99-21'!F220/42</f>
        <v>314.45238095238096</v>
      </c>
      <c r="G219" s="349">
        <f>'C-SH-4A ConsNacDerPet,99-21'!G220/42</f>
        <v>3.4761904761904763</v>
      </c>
      <c r="H219" s="349">
        <f>'C-SH-4A ConsNacDerPet,99-21'!H220/42</f>
        <v>346.1904761904762</v>
      </c>
      <c r="I219" s="350"/>
      <c r="J219" s="344">
        <f t="shared" si="20"/>
        <v>3699.9523809523803</v>
      </c>
      <c r="O219" s="69"/>
      <c r="P219" s="12"/>
    </row>
    <row r="220" spans="2:16" ht="15" customHeight="1" x14ac:dyDescent="0.25">
      <c r="B220" s="575">
        <v>2004</v>
      </c>
      <c r="C220" s="348">
        <f>'C-SH-4A ConsNacDerPet,99-21'!C221/42</f>
        <v>30.547619047619047</v>
      </c>
      <c r="D220" s="349"/>
      <c r="E220" s="349"/>
      <c r="F220" s="349">
        <f>'C-SH-4A ConsNacDerPet,99-21'!F221/42</f>
        <v>324.35714285714283</v>
      </c>
      <c r="G220" s="349">
        <f>'C-SH-4A ConsNacDerPet,99-21'!G221/42</f>
        <v>2.0952380952380953</v>
      </c>
      <c r="H220" s="349">
        <f>'C-SH-4A ConsNacDerPet,99-21'!H221/42</f>
        <v>339.21428571428572</v>
      </c>
      <c r="I220" s="350">
        <f>'C-SH-4A ConsNacDerPet,99-21'!I221/42</f>
        <v>18.238095238095237</v>
      </c>
      <c r="J220" s="344">
        <f t="shared" si="20"/>
        <v>3516.5</v>
      </c>
      <c r="O220" s="69"/>
      <c r="P220" s="12"/>
    </row>
    <row r="221" spans="2:16" ht="15" customHeight="1" x14ac:dyDescent="0.25">
      <c r="B221" s="575">
        <v>2005</v>
      </c>
      <c r="C221" s="348">
        <f>'C-SH-4A ConsNacDerPet,99-21'!C222/42</f>
        <v>44.023809523809526</v>
      </c>
      <c r="D221" s="349"/>
      <c r="E221" s="349"/>
      <c r="F221" s="349">
        <f>'C-SH-4A ConsNacDerPet,99-21'!F222/42</f>
        <v>341.73809523809524</v>
      </c>
      <c r="G221" s="349">
        <f>'C-SH-4A ConsNacDerPet,99-21'!G222/42</f>
        <v>2.6666666666666665</v>
      </c>
      <c r="H221" s="349">
        <f>'C-SH-4A ConsNacDerPet,99-21'!H222/42</f>
        <v>376.76190476190476</v>
      </c>
      <c r="I221" s="350">
        <f>'C-SH-4A ConsNacDerPet,99-21'!I222/42</f>
        <v>16.285714285714285</v>
      </c>
      <c r="J221" s="344">
        <f t="shared" si="20"/>
        <v>3577.0476190476193</v>
      </c>
      <c r="O221" s="69"/>
      <c r="P221" s="12"/>
    </row>
    <row r="222" spans="2:16" ht="15" customHeight="1" x14ac:dyDescent="0.25">
      <c r="B222" s="575">
        <v>2006</v>
      </c>
      <c r="C222" s="348">
        <f>'C-SH-4A ConsNacDerPet,99-21'!C223/42</f>
        <v>98.785714285714292</v>
      </c>
      <c r="D222" s="349"/>
      <c r="E222" s="349"/>
      <c r="F222" s="349">
        <f>'C-SH-4A ConsNacDerPet,99-21'!F223/42</f>
        <v>411.59523809523807</v>
      </c>
      <c r="G222" s="349">
        <f>'C-SH-4A ConsNacDerPet,99-21'!G223/42</f>
        <v>2.8333333333333335</v>
      </c>
      <c r="H222" s="349">
        <f>'C-SH-4A ConsNacDerPet,99-21'!H223/42</f>
        <v>394.09523809523807</v>
      </c>
      <c r="I222" s="350">
        <f>'C-SH-4A ConsNacDerPet,99-21'!I223/42</f>
        <v>23.5</v>
      </c>
      <c r="J222" s="344">
        <f t="shared" si="20"/>
        <v>3748.6190476190477</v>
      </c>
      <c r="O222" s="69"/>
      <c r="P222" s="12"/>
    </row>
    <row r="223" spans="2:16" ht="15" customHeight="1" x14ac:dyDescent="0.25">
      <c r="B223" s="575">
        <v>2007</v>
      </c>
      <c r="C223" s="348">
        <f>'C-SH-4A ConsNacDerPet,99-21'!C224/42</f>
        <v>82.476190476190482</v>
      </c>
      <c r="D223" s="349"/>
      <c r="E223" s="349"/>
      <c r="F223" s="349">
        <f>'C-SH-4A ConsNacDerPet,99-21'!F224/42</f>
        <v>403.57142857142856</v>
      </c>
      <c r="G223" s="349">
        <f>'C-SH-4A ConsNacDerPet,99-21'!G224/42</f>
        <v>3.2142857142857144</v>
      </c>
      <c r="H223" s="349">
        <f>'C-SH-4A ConsNacDerPet,99-21'!H224/42</f>
        <v>532.5</v>
      </c>
      <c r="I223" s="350">
        <f>'C-SH-4A ConsNacDerPet,99-21'!I224/42</f>
        <v>24.071428571428573</v>
      </c>
      <c r="J223" s="344">
        <f t="shared" si="20"/>
        <v>4357.5476190476184</v>
      </c>
      <c r="O223" s="69"/>
      <c r="P223" s="12"/>
    </row>
    <row r="224" spans="2:16" ht="15" customHeight="1" x14ac:dyDescent="0.25">
      <c r="B224" s="575">
        <v>2008</v>
      </c>
      <c r="C224" s="348">
        <f>'C-SH-4A ConsNacDerPet,99-21'!C225/42</f>
        <v>75.69047619047619</v>
      </c>
      <c r="D224" s="349"/>
      <c r="E224" s="349"/>
      <c r="F224" s="349">
        <f>'C-SH-4A ConsNacDerPet,99-21'!F225/42</f>
        <v>405.5</v>
      </c>
      <c r="G224" s="349">
        <f>'C-SH-4A ConsNacDerPet,99-21'!G225/42</f>
        <v>2.5714285714285716</v>
      </c>
      <c r="H224" s="349">
        <f>'C-SH-4A ConsNacDerPet,99-21'!H225/42</f>
        <v>593.57142857142856</v>
      </c>
      <c r="I224" s="350">
        <f>'C-SH-4A ConsNacDerPet,99-21'!I225/42</f>
        <v>12.142857142857142</v>
      </c>
      <c r="J224" s="344">
        <f t="shared" si="20"/>
        <v>4324.0476190476184</v>
      </c>
      <c r="O224" s="69"/>
      <c r="P224" s="12"/>
    </row>
    <row r="225" spans="2:16" ht="15" customHeight="1" x14ac:dyDescent="0.25">
      <c r="B225" s="575">
        <v>2009</v>
      </c>
      <c r="C225" s="348">
        <f>'C-SH-4A ConsNacDerPet,99-21'!C226/42</f>
        <v>67.61904761904762</v>
      </c>
      <c r="D225" s="349"/>
      <c r="E225" s="349"/>
      <c r="F225" s="349">
        <f>'C-SH-4A ConsNacDerPet,99-21'!F226/42</f>
        <v>402.5</v>
      </c>
      <c r="G225" s="349">
        <f>'C-SH-4A ConsNacDerPet,99-21'!G226/42</f>
        <v>2.3809523809523809</v>
      </c>
      <c r="H225" s="349">
        <f>'C-SH-4A ConsNacDerPet,99-21'!H226/42</f>
        <v>646.83333333333337</v>
      </c>
      <c r="I225" s="350">
        <f>'C-SH-4A ConsNacDerPet,99-21'!I226/42</f>
        <v>14.047619047619047</v>
      </c>
      <c r="J225" s="344">
        <f t="shared" si="20"/>
        <v>4462.9047619047615</v>
      </c>
      <c r="O225" s="69"/>
      <c r="P225" s="12"/>
    </row>
    <row r="226" spans="2:16" ht="15" customHeight="1" x14ac:dyDescent="0.25">
      <c r="B226" s="575">
        <v>2010</v>
      </c>
      <c r="C226" s="348">
        <f>'C-SH-4A ConsNacDerPet,99-21'!C227/42</f>
        <v>74.428571428571431</v>
      </c>
      <c r="D226" s="349"/>
      <c r="E226" s="349"/>
      <c r="F226" s="349">
        <f>'C-SH-4A ConsNacDerPet,99-21'!F227/42</f>
        <v>437.78571428571428</v>
      </c>
      <c r="G226" s="349">
        <f>'C-SH-4A ConsNacDerPet,99-21'!G227/42</f>
        <v>2.6428571428571428</v>
      </c>
      <c r="H226" s="349">
        <f>'C-SH-4A ConsNacDerPet,99-21'!H227/42</f>
        <v>736.07142857142856</v>
      </c>
      <c r="I226" s="350">
        <f>'C-SH-4A ConsNacDerPet,99-21'!I227/42</f>
        <v>12.738095238095237</v>
      </c>
      <c r="J226" s="344">
        <f t="shared" si="20"/>
        <v>5018.6428571428569</v>
      </c>
      <c r="O226" s="69"/>
      <c r="P226" s="12"/>
    </row>
    <row r="227" spans="2:16" ht="15" customHeight="1" x14ac:dyDescent="0.25">
      <c r="B227" s="575">
        <v>2011</v>
      </c>
      <c r="C227" s="348">
        <f>'C-SH-4A ConsNacDerPet,99-21'!C228/42</f>
        <v>131.5952380952381</v>
      </c>
      <c r="D227" s="349"/>
      <c r="E227" s="349"/>
      <c r="F227" s="349">
        <f>'C-SH-4A ConsNacDerPet,99-21'!F228/42</f>
        <v>445.16666666666669</v>
      </c>
      <c r="G227" s="349">
        <f>'C-SH-4A ConsNacDerPet,99-21'!G228/42</f>
        <v>2.5238095238095237</v>
      </c>
      <c r="H227" s="349">
        <f>'C-SH-4A ConsNacDerPet,99-21'!H228/42</f>
        <v>837.40476190476193</v>
      </c>
      <c r="I227" s="350">
        <f>'C-SH-4A ConsNacDerPet,99-21'!I228/42</f>
        <v>8.4523809523809526</v>
      </c>
      <c r="J227" s="344">
        <f t="shared" si="20"/>
        <v>5839.4047619047624</v>
      </c>
      <c r="O227" s="69"/>
      <c r="P227" s="12"/>
    </row>
    <row r="228" spans="2:16" ht="15" customHeight="1" x14ac:dyDescent="0.25">
      <c r="B228" s="575">
        <v>2012</v>
      </c>
      <c r="C228" s="348">
        <f>'C-SH-4A ConsNacDerPet,99-21'!C229/42</f>
        <v>112.52380952380952</v>
      </c>
      <c r="D228" s="349"/>
      <c r="E228" s="349"/>
      <c r="F228" s="349">
        <f>'C-SH-4A ConsNacDerPet,99-21'!F229/42</f>
        <v>456.64285714285717</v>
      </c>
      <c r="G228" s="349">
        <f>'C-SH-4A ConsNacDerPet,99-21'!G229/42</f>
        <v>2.7142857142857144</v>
      </c>
      <c r="H228" s="349">
        <f>'C-SH-4A ConsNacDerPet,99-21'!H229/42</f>
        <v>983.09523809523807</v>
      </c>
      <c r="I228" s="350">
        <f>'C-SH-4A ConsNacDerPet,99-21'!I229/42</f>
        <v>7.2857142857142856</v>
      </c>
      <c r="J228" s="344">
        <f t="shared" si="20"/>
        <v>5771.9999999999991</v>
      </c>
      <c r="O228" s="69"/>
      <c r="P228" s="12"/>
    </row>
    <row r="229" spans="2:16" ht="15" customHeight="1" x14ac:dyDescent="0.25">
      <c r="B229" s="575">
        <v>2013</v>
      </c>
      <c r="C229" s="348">
        <f>'C-SH-4A ConsNacDerPet,99-21'!C230/42</f>
        <v>66.80952380952381</v>
      </c>
      <c r="D229" s="349"/>
      <c r="E229" s="349"/>
      <c r="F229" s="349">
        <f>'C-SH-4A ConsNacDerPet,99-21'!F230/42</f>
        <v>482.97619047619048</v>
      </c>
      <c r="G229" s="349">
        <f>'C-SH-4A ConsNacDerPet,99-21'!G230/42</f>
        <v>3.1904761904761907</v>
      </c>
      <c r="H229" s="349">
        <f>'C-SH-4A ConsNacDerPet,99-21'!H230/42</f>
        <v>1044.4047619047619</v>
      </c>
      <c r="I229" s="350">
        <f>'C-SH-4A ConsNacDerPet,99-21'!I230/42</f>
        <v>6.9047619047619051</v>
      </c>
      <c r="J229" s="344">
        <f t="shared" si="20"/>
        <v>5756.7619047619046</v>
      </c>
      <c r="O229" s="69"/>
      <c r="P229" s="12"/>
    </row>
    <row r="230" spans="2:16" ht="15" customHeight="1" x14ac:dyDescent="0.25">
      <c r="B230" s="575">
        <v>2014</v>
      </c>
      <c r="C230" s="348">
        <f>'C-SH-4A ConsNacDerPet,99-21'!C231/42</f>
        <v>87</v>
      </c>
      <c r="D230" s="349"/>
      <c r="E230" s="349"/>
      <c r="F230" s="349">
        <f>'C-SH-4A ConsNacDerPet,99-21'!F231/42</f>
        <v>494.42857142857144</v>
      </c>
      <c r="G230" s="349">
        <f>'C-SH-4A ConsNacDerPet,99-21'!G231/42</f>
        <v>3.1190476190476191</v>
      </c>
      <c r="H230" s="349">
        <f>'C-SH-4A ConsNacDerPet,99-21'!H231/42</f>
        <v>1211.5952380952381</v>
      </c>
      <c r="I230" s="350">
        <f>'C-SH-4A ConsNacDerPet,99-21'!I231/42</f>
        <v>9.6666666666666661</v>
      </c>
      <c r="J230" s="344">
        <f t="shared" si="20"/>
        <v>6013.4285714285716</v>
      </c>
      <c r="O230" s="69"/>
      <c r="P230" s="12"/>
    </row>
    <row r="231" spans="2:16" ht="15" customHeight="1" x14ac:dyDescent="0.25">
      <c r="B231" s="575">
        <v>2015</v>
      </c>
      <c r="C231" s="348">
        <f>'C-SH-4A ConsNacDerPet,99-21'!C232/42</f>
        <v>96.047619047619051</v>
      </c>
      <c r="D231" s="349"/>
      <c r="E231" s="349"/>
      <c r="F231" s="349">
        <f>'C-SH-4A ConsNacDerPet,99-21'!F232/42</f>
        <v>518.71428571428567</v>
      </c>
      <c r="G231" s="349">
        <f>'C-SH-4A ConsNacDerPet,99-21'!G232/42</f>
        <v>6.5</v>
      </c>
      <c r="H231" s="349">
        <f>'C-SH-4A ConsNacDerPet,99-21'!H232/42</f>
        <v>1261.5238095238096</v>
      </c>
      <c r="I231" s="350">
        <f>'C-SH-4A ConsNacDerPet,99-21'!I232/42</f>
        <v>8.8809523809523814</v>
      </c>
      <c r="J231" s="344">
        <f t="shared" si="20"/>
        <v>6313.3809523809523</v>
      </c>
      <c r="O231" s="69"/>
      <c r="P231" s="12"/>
    </row>
    <row r="232" spans="2:16" ht="15" customHeight="1" x14ac:dyDescent="0.25">
      <c r="B232" s="575">
        <v>2016</v>
      </c>
      <c r="C232" s="348">
        <f>'C-SH-4A ConsNacDerPet,99-21'!C233/42</f>
        <v>95.166666666666671</v>
      </c>
      <c r="D232" s="349"/>
      <c r="E232" s="349"/>
      <c r="F232" s="349">
        <f>'C-SH-4A ConsNacDerPet,99-21'!F233/42</f>
        <v>558.73809523809518</v>
      </c>
      <c r="G232" s="349">
        <f>'C-SH-4A ConsNacDerPet,99-21'!G233/42</f>
        <v>4.6190476190476186</v>
      </c>
      <c r="H232" s="349">
        <f>'C-SH-4A ConsNacDerPet,99-21'!H233/42</f>
        <v>1328.7380952380952</v>
      </c>
      <c r="I232" s="350">
        <f>'C-SH-4A ConsNacDerPet,99-21'!I233/42</f>
        <v>8.3571428571428577</v>
      </c>
      <c r="J232" s="344">
        <f t="shared" si="20"/>
        <v>6731.023809523811</v>
      </c>
      <c r="O232" s="69"/>
      <c r="P232" s="12"/>
    </row>
    <row r="233" spans="2:16" ht="15" customHeight="1" x14ac:dyDescent="0.25">
      <c r="B233" s="575">
        <v>2017</v>
      </c>
      <c r="C233" s="348">
        <f>'C-SH-4A ConsNacDerPet,99-21'!C234/42</f>
        <v>75.80952380952381</v>
      </c>
      <c r="D233" s="349"/>
      <c r="E233" s="349"/>
      <c r="F233" s="349">
        <f>'C-SH-4A ConsNacDerPet,99-21'!F234/42</f>
        <v>566.35714285714289</v>
      </c>
      <c r="G233" s="349">
        <f>'C-SH-4A ConsNacDerPet,99-21'!G234/42</f>
        <v>5.166666666666667</v>
      </c>
      <c r="H233" s="349">
        <f>'C-SH-4A ConsNacDerPet,99-21'!H234/42</f>
        <v>1380.047619047619</v>
      </c>
      <c r="I233" s="350">
        <f>'C-SH-4A ConsNacDerPet,99-21'!I234/42</f>
        <v>8.7619047619047628</v>
      </c>
      <c r="J233" s="344">
        <f t="shared" si="20"/>
        <v>7102.0952380952385</v>
      </c>
      <c r="O233" s="69"/>
      <c r="P233" s="12"/>
    </row>
    <row r="234" spans="2:16" ht="15" customHeight="1" x14ac:dyDescent="0.25">
      <c r="B234" s="575">
        <v>2018</v>
      </c>
      <c r="C234" s="348">
        <f>'C-SH-4A ConsNacDerPet,99-21'!C235/42</f>
        <v>72.214285714285708</v>
      </c>
      <c r="D234" s="349"/>
      <c r="E234" s="349"/>
      <c r="F234" s="349">
        <f>'C-SH-4A ConsNacDerPet,99-21'!F235/42</f>
        <v>576.19047619047615</v>
      </c>
      <c r="G234" s="349">
        <f>'C-SH-4A ConsNacDerPet,99-21'!G235/42</f>
        <v>5.7380952380952381</v>
      </c>
      <c r="H234" s="349">
        <f>'C-SH-4A ConsNacDerPet,99-21'!H235/42</f>
        <v>1430.3095238095239</v>
      </c>
      <c r="I234" s="350">
        <f>'C-SH-4A ConsNacDerPet,99-21'!I235/42</f>
        <v>9.1904761904761898</v>
      </c>
      <c r="J234" s="344">
        <f t="shared" si="20"/>
        <v>6453.833333333333</v>
      </c>
      <c r="O234" s="69"/>
      <c r="P234" s="12"/>
    </row>
    <row r="235" spans="2:16" ht="15" customHeight="1" x14ac:dyDescent="0.25">
      <c r="B235" s="575">
        <v>2019</v>
      </c>
      <c r="C235" s="348">
        <f>'C-SH-4A ConsNacDerPet,99-21'!C236/42</f>
        <v>80.38095238095238</v>
      </c>
      <c r="D235" s="349"/>
      <c r="E235" s="349"/>
      <c r="F235" s="349">
        <f>'C-SH-4A ConsNacDerPet,99-21'!F236/42</f>
        <v>584.52380952380952</v>
      </c>
      <c r="G235" s="349">
        <f>'C-SH-4A ConsNacDerPet,99-21'!G236/42</f>
        <v>5.4285714285714288</v>
      </c>
      <c r="H235" s="349">
        <f>'C-SH-4A ConsNacDerPet,99-21'!H236/42</f>
        <v>1436.6666666666667</v>
      </c>
      <c r="I235" s="350">
        <f>'C-SH-4A ConsNacDerPet,99-21'!I236/42</f>
        <v>8.9761904761904763</v>
      </c>
      <c r="J235" s="344">
        <f t="shared" si="20"/>
        <v>6719.333333333333</v>
      </c>
      <c r="O235" s="69"/>
      <c r="P235" s="12"/>
    </row>
    <row r="236" spans="2:16" ht="15" customHeight="1" x14ac:dyDescent="0.25">
      <c r="B236" s="575">
        <v>2020</v>
      </c>
      <c r="C236" s="348">
        <f>'C-SH-4A ConsNacDerPet,99-21'!C237/42</f>
        <v>32.904761904761905</v>
      </c>
      <c r="D236" s="349"/>
      <c r="E236" s="349"/>
      <c r="F236" s="349">
        <f>'C-SH-4A ConsNacDerPet,99-21'!F237/42</f>
        <v>547.76190476190482</v>
      </c>
      <c r="G236" s="349">
        <f>'C-SH-4A ConsNacDerPet,99-21'!G237/42</f>
        <v>3.0476190476190474</v>
      </c>
      <c r="H236" s="349">
        <f>'C-SH-4A ConsNacDerPet,99-21'!H237/42</f>
        <v>153.97619047619048</v>
      </c>
      <c r="I236" s="350">
        <f>'C-SH-4A ConsNacDerPet,99-21'!I237/42</f>
        <v>6.5</v>
      </c>
      <c r="J236" s="344">
        <f t="shared" si="20"/>
        <v>3633.5952380952381</v>
      </c>
      <c r="O236" s="69"/>
      <c r="P236" s="12"/>
    </row>
    <row r="237" spans="2:16" ht="15" customHeight="1" x14ac:dyDescent="0.25">
      <c r="B237" s="575">
        <v>2021</v>
      </c>
      <c r="C237" s="348">
        <f>'C-SH-4A ConsNacDerPet,99-21'!C238/42</f>
        <v>43.238095238095241</v>
      </c>
      <c r="D237" s="349"/>
      <c r="E237" s="349"/>
      <c r="F237" s="349">
        <f>'C-SH-4A ConsNacDerPet,99-21'!F238/42</f>
        <v>600.83333333333337</v>
      </c>
      <c r="G237" s="349">
        <f>'C-SH-4A ConsNacDerPet,99-21'!G238/42</f>
        <v>5.0952380952380949</v>
      </c>
      <c r="H237" s="349">
        <f>'C-SH-4A ConsNacDerPet,99-21'!H238/42</f>
        <v>897.09523809523807</v>
      </c>
      <c r="I237" s="350">
        <f>'C-SH-4A ConsNacDerPet,99-21'!I238/42</f>
        <v>7.166666666666667</v>
      </c>
      <c r="J237" s="344">
        <f t="shared" si="20"/>
        <v>5644.6904761904761</v>
      </c>
      <c r="O237" s="69"/>
      <c r="P237" s="12"/>
    </row>
    <row r="238" spans="2:16" ht="15" customHeight="1" x14ac:dyDescent="0.25">
      <c r="B238" s="577"/>
      <c r="C238" s="348"/>
      <c r="D238" s="349"/>
      <c r="E238" s="349"/>
      <c r="F238" s="349"/>
      <c r="G238" s="349"/>
      <c r="H238" s="349"/>
      <c r="I238" s="350"/>
      <c r="J238" s="320"/>
      <c r="O238" s="69"/>
      <c r="P238" s="12"/>
    </row>
    <row r="239" spans="2:16" ht="15" customHeight="1" x14ac:dyDescent="0.25">
      <c r="B239" s="570" t="s">
        <v>118</v>
      </c>
      <c r="C239" s="348"/>
      <c r="D239" s="349"/>
      <c r="E239" s="349"/>
      <c r="F239" s="349"/>
      <c r="G239" s="349"/>
      <c r="H239" s="349"/>
      <c r="I239" s="350"/>
      <c r="J239" s="320"/>
      <c r="O239" s="69"/>
      <c r="P239" s="12"/>
    </row>
    <row r="240" spans="2:16" ht="15" customHeight="1" x14ac:dyDescent="0.25">
      <c r="B240" s="575">
        <v>1999</v>
      </c>
      <c r="C240" s="348">
        <f>'C-SH-4A ConsNacDerPet,99-21'!C241/42</f>
        <v>47.38095238095238</v>
      </c>
      <c r="D240" s="349">
        <f>'C-SH-4A ConsNacDerPet,99-21'!D241/42</f>
        <v>0.47619047619047616</v>
      </c>
      <c r="E240" s="349"/>
      <c r="F240" s="349">
        <f>'C-SH-4A ConsNacDerPet,99-21'!F241/42</f>
        <v>293.97619047619048</v>
      </c>
      <c r="G240" s="349">
        <f>'C-SH-4A ConsNacDerPet,99-21'!G241/42</f>
        <v>3.4523809523809526</v>
      </c>
      <c r="H240" s="349"/>
      <c r="I240" s="350"/>
      <c r="J240" s="344">
        <f t="shared" ref="J240:J253" si="21">SUM(C111:J111,C240:I240)</f>
        <v>2418.904761904761</v>
      </c>
      <c r="O240" s="69"/>
      <c r="P240" s="12"/>
    </row>
    <row r="241" spans="2:16" ht="15" customHeight="1" x14ac:dyDescent="0.25">
      <c r="B241" s="576">
        <v>2000</v>
      </c>
      <c r="C241" s="352">
        <f>'C-SH-4A ConsNacDerPet,99-21'!C242/42</f>
        <v>41.738095238095241</v>
      </c>
      <c r="D241" s="353">
        <f>'C-SH-4A ConsNacDerPet,99-21'!D242/42</f>
        <v>0.45238095238095238</v>
      </c>
      <c r="E241" s="353"/>
      <c r="F241" s="353">
        <f>'C-SH-4A ConsNacDerPet,99-21'!F242/42</f>
        <v>291.6904761904762</v>
      </c>
      <c r="G241" s="353">
        <f>'C-SH-4A ConsNacDerPet,99-21'!G242/42</f>
        <v>3.6666666666666665</v>
      </c>
      <c r="H241" s="353"/>
      <c r="I241" s="354"/>
      <c r="J241" s="344">
        <f t="shared" si="21"/>
        <v>2464.6666666666661</v>
      </c>
      <c r="O241" s="69"/>
      <c r="P241" s="12"/>
    </row>
    <row r="242" spans="2:16" ht="15" customHeight="1" x14ac:dyDescent="0.25">
      <c r="B242" s="576">
        <v>2001</v>
      </c>
      <c r="C242" s="352">
        <f>'C-SH-4A ConsNacDerPet,99-21'!C243/42</f>
        <v>29.642857142857142</v>
      </c>
      <c r="D242" s="353">
        <f>'C-SH-4A ConsNacDerPet,99-21'!D243/42</f>
        <v>0.38095238095238093</v>
      </c>
      <c r="E242" s="353"/>
      <c r="F242" s="353">
        <f>'C-SH-4A ConsNacDerPet,99-21'!F243/42</f>
        <v>295.40476190476193</v>
      </c>
      <c r="G242" s="353">
        <f>'C-SH-4A ConsNacDerPet,99-21'!G243/42</f>
        <v>2.9761904761904763</v>
      </c>
      <c r="H242" s="353"/>
      <c r="I242" s="354"/>
      <c r="J242" s="344">
        <f t="shared" si="21"/>
        <v>2866.8809523809523</v>
      </c>
      <c r="O242" s="69"/>
      <c r="P242" s="12"/>
    </row>
    <row r="243" spans="2:16" ht="15" customHeight="1" x14ac:dyDescent="0.25">
      <c r="B243" s="575">
        <v>2002</v>
      </c>
      <c r="C243" s="348">
        <f>'C-SH-4A ConsNacDerPet,99-21'!C244/42</f>
        <v>29.738095238095237</v>
      </c>
      <c r="D243" s="349">
        <f>'C-SH-4A ConsNacDerPet,99-21'!D244/42</f>
        <v>1.4047619047619047</v>
      </c>
      <c r="E243" s="349"/>
      <c r="F243" s="349">
        <f>'C-SH-4A ConsNacDerPet,99-21'!F244/42</f>
        <v>305.8095238095238</v>
      </c>
      <c r="G243" s="349">
        <f>'C-SH-4A ConsNacDerPet,99-21'!G244/42</f>
        <v>3.5238095238095237</v>
      </c>
      <c r="H243" s="349"/>
      <c r="I243" s="350"/>
      <c r="J243" s="344">
        <f t="shared" si="21"/>
        <v>2868</v>
      </c>
      <c r="O243" s="69"/>
      <c r="P243" s="12"/>
    </row>
    <row r="244" spans="2:16" ht="15" customHeight="1" x14ac:dyDescent="0.25">
      <c r="B244" s="578">
        <v>2003</v>
      </c>
      <c r="C244" s="356">
        <f>'C-SH-4A ConsNacDerPet,99-21'!C245/42</f>
        <v>31.11904761904762</v>
      </c>
      <c r="D244" s="357">
        <f>'C-SH-4A ConsNacDerPet,99-21'!D245/42</f>
        <v>0</v>
      </c>
      <c r="E244" s="357"/>
      <c r="F244" s="357">
        <f>'C-SH-4A ConsNacDerPet,99-21'!F245/42</f>
        <v>273.97619047619048</v>
      </c>
      <c r="G244" s="357">
        <f>'C-SH-4A ConsNacDerPet,99-21'!G245/42</f>
        <v>3.0714285714285716</v>
      </c>
      <c r="H244" s="357">
        <f>'C-SH-4A ConsNacDerPet,99-21'!H245/42</f>
        <v>339.71428571428572</v>
      </c>
      <c r="I244" s="350"/>
      <c r="J244" s="344">
        <f t="shared" si="21"/>
        <v>3621.8571428571427</v>
      </c>
      <c r="O244" s="69"/>
      <c r="P244" s="12"/>
    </row>
    <row r="245" spans="2:16" ht="15" customHeight="1" x14ac:dyDescent="0.25">
      <c r="B245" s="576">
        <v>2004</v>
      </c>
      <c r="C245" s="352">
        <f>'C-SH-4A ConsNacDerPet,99-21'!C246/42</f>
        <v>24.476190476190474</v>
      </c>
      <c r="D245" s="353"/>
      <c r="E245" s="353"/>
      <c r="F245" s="353">
        <f>'C-SH-4A ConsNacDerPet,99-21'!F246/42</f>
        <v>309.21428571428572</v>
      </c>
      <c r="G245" s="353">
        <f>'C-SH-4A ConsNacDerPet,99-21'!G246/42</f>
        <v>2.3809523809523809</v>
      </c>
      <c r="H245" s="353">
        <f>'C-SH-4A ConsNacDerPet,99-21'!H246/42</f>
        <v>355.83333333333331</v>
      </c>
      <c r="I245" s="350">
        <f>'C-SH-4A ConsNacDerPet,99-21'!I246/42</f>
        <v>17.166666666666668</v>
      </c>
      <c r="J245" s="344">
        <f t="shared" si="21"/>
        <v>3297.4523809523812</v>
      </c>
      <c r="O245" s="69"/>
      <c r="P245" s="12"/>
    </row>
    <row r="246" spans="2:16" ht="15" customHeight="1" x14ac:dyDescent="0.25">
      <c r="B246" s="582">
        <v>2005</v>
      </c>
      <c r="C246" s="374">
        <f>'C-SH-4A ConsNacDerPet,99-21'!C247/42</f>
        <v>35.452380952380949</v>
      </c>
      <c r="D246" s="353"/>
      <c r="E246" s="353"/>
      <c r="F246" s="353">
        <f>'C-SH-4A ConsNacDerPet,99-21'!F247/42</f>
        <v>350.33333333333331</v>
      </c>
      <c r="G246" s="353">
        <f>'C-SH-4A ConsNacDerPet,99-21'!G247/42</f>
        <v>2.4047619047619047</v>
      </c>
      <c r="H246" s="353">
        <f>'C-SH-4A ConsNacDerPet,99-21'!H247/42</f>
        <v>389.6904761904762</v>
      </c>
      <c r="I246" s="354">
        <f>'C-SH-4A ConsNacDerPet,99-21'!I247/42</f>
        <v>14.595238095238095</v>
      </c>
      <c r="J246" s="344">
        <f t="shared" si="21"/>
        <v>3576.5476190476188</v>
      </c>
      <c r="O246" s="69"/>
      <c r="P246" s="12"/>
    </row>
    <row r="247" spans="2:16" ht="15" customHeight="1" x14ac:dyDescent="0.25">
      <c r="B247" s="582">
        <v>2006</v>
      </c>
      <c r="C247" s="374">
        <f>'C-SH-4A ConsNacDerPet,99-21'!C248/42</f>
        <v>74.571428571428569</v>
      </c>
      <c r="D247" s="353">
        <f>'C-SH-4A ConsNacDerPet,99-21'!D248/42</f>
        <v>0</v>
      </c>
      <c r="E247" s="353"/>
      <c r="F247" s="353">
        <f>'C-SH-4A ConsNacDerPet,99-21'!F248/42</f>
        <v>376.23809523809524</v>
      </c>
      <c r="G247" s="353">
        <f>'C-SH-4A ConsNacDerPet,99-21'!G248/42</f>
        <v>2.5714285714285716</v>
      </c>
      <c r="H247" s="353">
        <f>'C-SH-4A ConsNacDerPet,99-21'!H248/42</f>
        <v>481.04761904761904</v>
      </c>
      <c r="I247" s="354">
        <f>'C-SH-4A ConsNacDerPet,99-21'!I248/42</f>
        <v>20.404761904761905</v>
      </c>
      <c r="J247" s="450">
        <f t="shared" si="21"/>
        <v>3917.9285714285711</v>
      </c>
      <c r="O247" s="69"/>
      <c r="P247" s="12"/>
    </row>
    <row r="248" spans="2:16" ht="15" customHeight="1" x14ac:dyDescent="0.25">
      <c r="B248" s="582">
        <v>2007</v>
      </c>
      <c r="C248" s="374">
        <f>'C-SH-4A ConsNacDerPet,99-21'!C249/42</f>
        <v>67.761904761904759</v>
      </c>
      <c r="D248" s="353">
        <f>'C-SH-4A ConsNacDerPet,99-21'!D249/42</f>
        <v>0</v>
      </c>
      <c r="E248" s="353"/>
      <c r="F248" s="353">
        <f>'C-SH-4A ConsNacDerPet,99-21'!F249/42</f>
        <v>396.66666666666669</v>
      </c>
      <c r="G248" s="353">
        <f>'C-SH-4A ConsNacDerPet,99-21'!G249/42</f>
        <v>2.4523809523809526</v>
      </c>
      <c r="H248" s="353">
        <f>'C-SH-4A ConsNacDerPet,99-21'!H249/42</f>
        <v>533.09523809523807</v>
      </c>
      <c r="I248" s="354">
        <f>'C-SH-4A ConsNacDerPet,99-21'!I249/42</f>
        <v>23.5</v>
      </c>
      <c r="J248" s="450">
        <f t="shared" si="21"/>
        <v>4046.7380952380945</v>
      </c>
      <c r="O248" s="69"/>
      <c r="P248" s="12"/>
    </row>
    <row r="249" spans="2:16" ht="15" customHeight="1" x14ac:dyDescent="0.25">
      <c r="B249" s="575">
        <v>2008</v>
      </c>
      <c r="C249" s="361">
        <f>'C-SH-4A ConsNacDerPet,99-21'!C250/42</f>
        <v>73.047619047619051</v>
      </c>
      <c r="D249" s="349">
        <f>'C-SH-4A ConsNacDerPet,99-21'!D250/42</f>
        <v>0</v>
      </c>
      <c r="E249" s="349"/>
      <c r="F249" s="349">
        <f>'C-SH-4A ConsNacDerPet,99-21'!F250/42</f>
        <v>410.85714285714283</v>
      </c>
      <c r="G249" s="349">
        <f>'C-SH-4A ConsNacDerPet,99-21'!G250/42</f>
        <v>2.6428571428571428</v>
      </c>
      <c r="H249" s="349">
        <f>'C-SH-4A ConsNacDerPet,99-21'!H250/42</f>
        <v>648.19047619047615</v>
      </c>
      <c r="I249" s="350">
        <f>'C-SH-4A ConsNacDerPet,99-21'!I250/42</f>
        <v>11.547619047619047</v>
      </c>
      <c r="J249" s="344">
        <f t="shared" si="21"/>
        <v>4220.166666666667</v>
      </c>
      <c r="O249" s="69"/>
      <c r="P249" s="12"/>
    </row>
    <row r="250" spans="2:16" ht="15" customHeight="1" x14ac:dyDescent="0.25">
      <c r="B250" s="575">
        <v>2009</v>
      </c>
      <c r="C250" s="361">
        <f>'C-SH-4A ConsNacDerPet,99-21'!C251/42</f>
        <v>62.738095238095241</v>
      </c>
      <c r="D250" s="349">
        <f>'C-SH-4A ConsNacDerPet,99-21'!D251/42</f>
        <v>0</v>
      </c>
      <c r="E250" s="349"/>
      <c r="F250" s="349">
        <f>'C-SH-4A ConsNacDerPet,99-21'!F251/42</f>
        <v>416.02380952380952</v>
      </c>
      <c r="G250" s="349">
        <f>'C-SH-4A ConsNacDerPet,99-21'!G251/42</f>
        <v>2.3571428571428572</v>
      </c>
      <c r="H250" s="349">
        <f>'C-SH-4A ConsNacDerPet,99-21'!H251/42</f>
        <v>669.09523809523807</v>
      </c>
      <c r="I250" s="350">
        <f>'C-SH-4A ConsNacDerPet,99-21'!I251/42</f>
        <v>12.571428571428571</v>
      </c>
      <c r="J250" s="344">
        <f t="shared" si="21"/>
        <v>4719.2857142857147</v>
      </c>
      <c r="O250" s="69"/>
      <c r="P250" s="12"/>
    </row>
    <row r="251" spans="2:16" ht="15" customHeight="1" x14ac:dyDescent="0.25">
      <c r="B251" s="578">
        <v>2010</v>
      </c>
      <c r="C251" s="361">
        <f>'C-SH-4A ConsNacDerPet,99-21'!C252/42</f>
        <v>61.523809523809526</v>
      </c>
      <c r="D251" s="349">
        <f>'C-SH-4A ConsNacDerPet,99-21'!D252/42</f>
        <v>0</v>
      </c>
      <c r="E251" s="349"/>
      <c r="F251" s="349">
        <f>'C-SH-4A ConsNacDerPet,99-21'!F252/42</f>
        <v>485.33333333333331</v>
      </c>
      <c r="G251" s="349">
        <f>'C-SH-4A ConsNacDerPet,99-21'!G252/42</f>
        <v>2.3333333333333335</v>
      </c>
      <c r="H251" s="349">
        <f>'C-SH-4A ConsNacDerPet,99-21'!H252/42</f>
        <v>719.11904761904759</v>
      </c>
      <c r="I251" s="350">
        <f>'C-SH-4A ConsNacDerPet,99-21'!I252/42</f>
        <v>10.880952380952381</v>
      </c>
      <c r="J251" s="344">
        <f t="shared" si="21"/>
        <v>4922.6904761904761</v>
      </c>
      <c r="O251" s="69"/>
      <c r="P251" s="12"/>
    </row>
    <row r="252" spans="2:16" ht="15" customHeight="1" x14ac:dyDescent="0.25">
      <c r="B252" s="580">
        <v>2011</v>
      </c>
      <c r="C252" s="361">
        <f>'C-SH-4A ConsNacDerPet,99-21'!C253/42</f>
        <v>97.857142857142861</v>
      </c>
      <c r="D252" s="349">
        <f>'C-SH-4A ConsNacDerPet,99-21'!D253/42</f>
        <v>0</v>
      </c>
      <c r="E252" s="349"/>
      <c r="F252" s="349">
        <f>'C-SH-4A ConsNacDerPet,99-21'!F253/42</f>
        <v>457.71428571428572</v>
      </c>
      <c r="G252" s="349">
        <f>'C-SH-4A ConsNacDerPet,99-21'!G253/42</f>
        <v>2.2857142857142856</v>
      </c>
      <c r="H252" s="349">
        <f>'C-SH-4A ConsNacDerPet,99-21'!H253/42</f>
        <v>836.21428571428567</v>
      </c>
      <c r="I252" s="350">
        <f>'C-SH-4A ConsNacDerPet,99-21'!I253/42</f>
        <v>7.0714285714285712</v>
      </c>
      <c r="J252" s="344">
        <f t="shared" si="21"/>
        <v>5218.833333333333</v>
      </c>
      <c r="O252" s="69"/>
      <c r="P252" s="12"/>
    </row>
    <row r="253" spans="2:16" ht="15" customHeight="1" x14ac:dyDescent="0.25">
      <c r="B253" s="581">
        <v>2012</v>
      </c>
      <c r="C253" s="361">
        <f>'C-SH-4A ConsNacDerPet,99-21'!C254/42</f>
        <v>80.30952380952381</v>
      </c>
      <c r="D253" s="349">
        <f>'C-SH-4A ConsNacDerPet,99-21'!D254/42</f>
        <v>0</v>
      </c>
      <c r="E253" s="349"/>
      <c r="F253" s="349">
        <f>'C-SH-4A ConsNacDerPet,99-21'!F254/42</f>
        <v>472.38095238095241</v>
      </c>
      <c r="G253" s="349">
        <f>'C-SH-4A ConsNacDerPet,99-21'!G254/42</f>
        <v>2.7380952380952381</v>
      </c>
      <c r="H253" s="349">
        <f>'C-SH-4A ConsNacDerPet,99-21'!H254/42</f>
        <v>1002</v>
      </c>
      <c r="I253" s="350">
        <f>'C-SH-4A ConsNacDerPet,99-21'!I254/42</f>
        <v>6.833333333333333</v>
      </c>
      <c r="J253" s="344">
        <f t="shared" si="21"/>
        <v>5605.0476190476184</v>
      </c>
      <c r="O253" s="69"/>
      <c r="P253" s="12"/>
    </row>
    <row r="254" spans="2:16" ht="15" customHeight="1" x14ac:dyDescent="0.25">
      <c r="B254" s="575">
        <v>2013</v>
      </c>
      <c r="C254" s="361">
        <f>'C-SH-4A ConsNacDerPet,99-21'!C255/42</f>
        <v>48.666666666666664</v>
      </c>
      <c r="D254" s="349">
        <f>'C-SH-4A ConsNacDerPet,99-21'!D255/42</f>
        <v>0</v>
      </c>
      <c r="E254" s="349">
        <f>'C-SH-4A ConsNacDerPet,99-21'!E255/42</f>
        <v>0</v>
      </c>
      <c r="F254" s="349">
        <f>'C-SH-4A ConsNacDerPet,99-21'!F255/42</f>
        <v>484.66666666666669</v>
      </c>
      <c r="G254" s="349">
        <f>'C-SH-4A ConsNacDerPet,99-21'!G255/42</f>
        <v>3.0714285714285716</v>
      </c>
      <c r="H254" s="349">
        <f>'C-SH-4A ConsNacDerPet,99-21'!H255/42</f>
        <v>1070.3809523809523</v>
      </c>
      <c r="I254" s="350">
        <f>'C-SH-4A ConsNacDerPet,99-21'!I255/42</f>
        <v>6.4047619047619051</v>
      </c>
      <c r="J254" s="344">
        <f t="shared" ref="J254:J262" si="22">SUM(C125:J125,C254:I254)</f>
        <v>5859.833333333333</v>
      </c>
      <c r="O254" s="69"/>
      <c r="P254" s="12"/>
    </row>
    <row r="255" spans="2:16" ht="15" customHeight="1" x14ac:dyDescent="0.25">
      <c r="B255" s="582">
        <v>2014</v>
      </c>
      <c r="C255" s="374">
        <f>'C-SH-4A ConsNacDerPet,99-21'!C256/42</f>
        <v>82.357142857142861</v>
      </c>
      <c r="D255" s="353">
        <f>'C-SH-4A ConsNacDerPet,99-21'!D256/42</f>
        <v>0</v>
      </c>
      <c r="E255" s="353">
        <f>'C-SH-4A ConsNacDerPet,99-21'!E256/42</f>
        <v>0</v>
      </c>
      <c r="F255" s="353">
        <f>'C-SH-4A ConsNacDerPet,99-21'!F256/42</f>
        <v>504</v>
      </c>
      <c r="G255" s="353">
        <f>'C-SH-4A ConsNacDerPet,99-21'!G256/42</f>
        <v>3.5238095238095237</v>
      </c>
      <c r="H255" s="353">
        <f>'C-SH-4A ConsNacDerPet,99-21'!H256/42</f>
        <v>1244.8095238095239</v>
      </c>
      <c r="I255" s="354">
        <f>'C-SH-4A ConsNacDerPet,99-21'!I256/42</f>
        <v>9.4047619047619051</v>
      </c>
      <c r="J255" s="344">
        <f t="shared" si="22"/>
        <v>5877.9999999999991</v>
      </c>
      <c r="O255" s="69"/>
      <c r="P255" s="12"/>
    </row>
    <row r="256" spans="2:16" ht="15" customHeight="1" x14ac:dyDescent="0.25">
      <c r="B256" s="576">
        <v>2015</v>
      </c>
      <c r="C256" s="374">
        <f>'C-SH-4A ConsNacDerPet,99-21'!C257/42</f>
        <v>98.166666666666671</v>
      </c>
      <c r="D256" s="353">
        <f>'C-SH-4A ConsNacDerPet,99-21'!D257/42</f>
        <v>0</v>
      </c>
      <c r="E256" s="353">
        <f>'C-SH-4A ConsNacDerPet,99-21'!E257/42</f>
        <v>0</v>
      </c>
      <c r="F256" s="353">
        <f>'C-SH-4A ConsNacDerPet,99-21'!F257/42</f>
        <v>521.97619047619048</v>
      </c>
      <c r="G256" s="353">
        <f>'C-SH-4A ConsNacDerPet,99-21'!G257/42</f>
        <v>7.5238095238095237</v>
      </c>
      <c r="H256" s="353">
        <f>'C-SH-4A ConsNacDerPet,99-21'!H257/42</f>
        <v>1307.3095238095239</v>
      </c>
      <c r="I256" s="355">
        <f>'C-SH-4A ConsNacDerPet,99-21'!I257/42</f>
        <v>7.1904761904761907</v>
      </c>
      <c r="J256" s="344">
        <f t="shared" si="22"/>
        <v>6841.3571428571431</v>
      </c>
      <c r="O256" s="69"/>
      <c r="P256" s="12"/>
    </row>
    <row r="257" spans="2:17" ht="15" customHeight="1" x14ac:dyDescent="0.25">
      <c r="B257" s="576">
        <v>2016</v>
      </c>
      <c r="C257" s="374">
        <f>'C-SH-4A ConsNacDerPet,99-21'!C258/42</f>
        <v>66.238095238095241</v>
      </c>
      <c r="D257" s="353">
        <f>'C-SH-4A ConsNacDerPet,99-21'!D258/42</f>
        <v>0</v>
      </c>
      <c r="E257" s="353">
        <f>'C-SH-4A ConsNacDerPet,99-21'!E258/42</f>
        <v>0</v>
      </c>
      <c r="F257" s="353">
        <f>'C-SH-4A ConsNacDerPet,99-21'!F258/42</f>
        <v>559.14285714285711</v>
      </c>
      <c r="G257" s="353">
        <f>'C-SH-4A ConsNacDerPet,99-21'!G258/42</f>
        <v>4.7857142857142856</v>
      </c>
      <c r="H257" s="353">
        <f>'C-SH-4A ConsNacDerPet,99-21'!H258/42</f>
        <v>1326.2619047619048</v>
      </c>
      <c r="I257" s="355">
        <f>'C-SH-4A ConsNacDerPet,99-21'!I258/42</f>
        <v>7.4047619047619051</v>
      </c>
      <c r="J257" s="344">
        <f t="shared" si="22"/>
        <v>6218.1904761904761</v>
      </c>
      <c r="O257" s="69"/>
      <c r="P257" s="12"/>
    </row>
    <row r="258" spans="2:17" ht="15" customHeight="1" x14ac:dyDescent="0.25">
      <c r="B258" s="576">
        <v>2017</v>
      </c>
      <c r="C258" s="775">
        <f>'C-SH-4A ConsNacDerPet,99-21'!C259/42</f>
        <v>69.023809523809518</v>
      </c>
      <c r="D258" s="353">
        <f>'C-SH-4A ConsNacDerPet,99-21'!D259/42</f>
        <v>0</v>
      </c>
      <c r="E258" s="353">
        <f>'C-SH-4A ConsNacDerPet,99-21'!E259/42</f>
        <v>0</v>
      </c>
      <c r="F258" s="353">
        <f>'C-SH-4A ConsNacDerPet,99-21'!F259/42</f>
        <v>570.16666666666663</v>
      </c>
      <c r="G258" s="353">
        <f>'C-SH-4A ConsNacDerPet,99-21'!G259/42</f>
        <v>5.2857142857142856</v>
      </c>
      <c r="H258" s="353">
        <f>'C-SH-4A ConsNacDerPet,99-21'!H259/42</f>
        <v>1361.6666666666667</v>
      </c>
      <c r="I258" s="352">
        <f>'C-SH-4A ConsNacDerPet,99-21'!I259/42</f>
        <v>7.9047619047619051</v>
      </c>
      <c r="J258" s="344">
        <f t="shared" si="22"/>
        <v>6421.0476190476193</v>
      </c>
      <c r="O258" s="69"/>
      <c r="P258" s="12"/>
    </row>
    <row r="259" spans="2:17" ht="15" customHeight="1" x14ac:dyDescent="0.25">
      <c r="B259" s="794">
        <v>2018</v>
      </c>
      <c r="C259" s="796">
        <f>'C-SH-4A ConsNacDerPet,99-21'!C260/42</f>
        <v>69.69047619047619</v>
      </c>
      <c r="D259" s="349">
        <f>'C-SH-4A ConsNacDerPet,99-21'!D260/42</f>
        <v>0</v>
      </c>
      <c r="E259" s="349">
        <f>'C-SH-4A ConsNacDerPet,99-21'!E260/42</f>
        <v>0</v>
      </c>
      <c r="F259" s="349">
        <f>'C-SH-4A ConsNacDerPet,99-21'!F260/42</f>
        <v>612.14285714285711</v>
      </c>
      <c r="G259" s="349">
        <f>'C-SH-4A ConsNacDerPet,99-21'!G260/42</f>
        <v>11.047619047619047</v>
      </c>
      <c r="H259" s="349">
        <f>'C-SH-4A ConsNacDerPet,99-21'!H260/42</f>
        <v>1424.6666666666667</v>
      </c>
      <c r="I259" s="348">
        <f>'C-SH-4A ConsNacDerPet,99-21'!I260/42</f>
        <v>7.4047619047619051</v>
      </c>
      <c r="J259" s="344">
        <f t="shared" si="22"/>
        <v>6501.9285714285706</v>
      </c>
      <c r="O259" s="69"/>
      <c r="P259" s="12"/>
    </row>
    <row r="260" spans="2:17" ht="15" customHeight="1" x14ac:dyDescent="0.25">
      <c r="B260" s="582">
        <v>2019</v>
      </c>
      <c r="C260" s="361">
        <f>'C-SH-4A ConsNacDerPet,99-21'!C261/42</f>
        <v>76.571428571428569</v>
      </c>
      <c r="D260" s="348">
        <f>'C-SH-4A ConsNacDerPet,99-21'!D261/42</f>
        <v>0</v>
      </c>
      <c r="E260" s="349">
        <f>'C-SH-4A ConsNacDerPet,99-21'!E261/42</f>
        <v>0</v>
      </c>
      <c r="F260" s="349">
        <f>'C-SH-4A ConsNacDerPet,99-21'!F261/42</f>
        <v>591.88095238095241</v>
      </c>
      <c r="G260" s="349">
        <f>'C-SH-4A ConsNacDerPet,99-21'!G261/42</f>
        <v>4</v>
      </c>
      <c r="H260" s="350">
        <f>'C-SH-4A ConsNacDerPet,99-21'!H261/42</f>
        <v>1395.5714285714287</v>
      </c>
      <c r="I260" s="351">
        <f>'C-SH-4A ConsNacDerPet,99-21'!I261/42</f>
        <v>6.7380952380952381</v>
      </c>
      <c r="J260" s="344">
        <f t="shared" si="22"/>
        <v>6426.5714285714275</v>
      </c>
      <c r="O260" s="69"/>
      <c r="P260" s="12"/>
    </row>
    <row r="261" spans="2:17" ht="15" customHeight="1" x14ac:dyDescent="0.25">
      <c r="B261" s="576">
        <v>2020</v>
      </c>
      <c r="C261" s="775">
        <f>'C-SH-4A ConsNacDerPet,99-21'!C262/42</f>
        <v>50.833333333333336</v>
      </c>
      <c r="D261" s="353">
        <f>'C-SH-4A ConsNacDerPet,99-21'!D262/42</f>
        <v>0</v>
      </c>
      <c r="E261" s="353">
        <f>'C-SH-4A ConsNacDerPet,99-21'!E262/42</f>
        <v>0</v>
      </c>
      <c r="F261" s="353">
        <f>'C-SH-4A ConsNacDerPet,99-21'!F262/42</f>
        <v>588.19047619047615</v>
      </c>
      <c r="G261" s="353">
        <f>'C-SH-4A ConsNacDerPet,99-21'!G262/42</f>
        <v>3.2619047619047619</v>
      </c>
      <c r="H261" s="353">
        <f>'C-SH-4A ConsNacDerPet,99-21'!H262/42</f>
        <v>446.73809523809524</v>
      </c>
      <c r="I261" s="353">
        <f>'C-SH-4A ConsNacDerPet,99-21'!I262/42</f>
        <v>7.9523809523809526</v>
      </c>
      <c r="J261" s="344">
        <f t="shared" si="22"/>
        <v>4674.142857142856</v>
      </c>
      <c r="O261" s="69"/>
      <c r="P261" s="12"/>
    </row>
    <row r="262" spans="2:17" ht="15" customHeight="1" thickBot="1" x14ac:dyDescent="0.3">
      <c r="B262" s="719">
        <v>2021</v>
      </c>
      <c r="C262" s="776">
        <f>'C-SH-4A ConsNacDerPet,99-21'!C263/42</f>
        <v>40.61904761904762</v>
      </c>
      <c r="D262" s="360">
        <f>'C-SH-4A ConsNacDerPet,99-21'!D263/42</f>
        <v>0</v>
      </c>
      <c r="E262" s="360">
        <f>'C-SH-4A ConsNacDerPet,99-21'!E263/42</f>
        <v>0</v>
      </c>
      <c r="F262" s="360">
        <f>'C-SH-4A ConsNacDerPet,99-21'!F263/42</f>
        <v>610.42857142857144</v>
      </c>
      <c r="G262" s="360">
        <f>'C-SH-4A ConsNacDerPet,99-21'!G263/42</f>
        <v>4.7380952380952381</v>
      </c>
      <c r="H262" s="360">
        <f>'C-SH-4A ConsNacDerPet,99-21'!H263/42</f>
        <v>1059.5238095238096</v>
      </c>
      <c r="I262" s="360">
        <f>'C-SH-4A ConsNacDerPet,99-21'!I263/42</f>
        <v>7.2619047619047619</v>
      </c>
      <c r="J262" s="828">
        <f t="shared" si="22"/>
        <v>6124.8333333333339</v>
      </c>
      <c r="O262" s="69"/>
      <c r="P262" s="12"/>
    </row>
    <row r="263" spans="2:17" ht="15" customHeight="1" x14ac:dyDescent="0.25"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60"/>
      <c r="Q263" s="12"/>
    </row>
    <row r="264" spans="2:17" s="14" customFormat="1" ht="15" customHeight="1" x14ac:dyDescent="0.25">
      <c r="B264" s="14" t="s">
        <v>219</v>
      </c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</row>
    <row r="265" spans="2:17" ht="15" customHeight="1" x14ac:dyDescent="0.25"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</row>
    <row r="266" spans="2:17" ht="15" customHeight="1" x14ac:dyDescent="0.25"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</row>
    <row r="267" spans="2:17" ht="15" customHeight="1" x14ac:dyDescent="0.25">
      <c r="C267" s="43"/>
      <c r="D267" s="43"/>
      <c r="E267" s="43"/>
      <c r="H267" s="43"/>
      <c r="I267" s="43"/>
      <c r="J267" s="43"/>
      <c r="K267" s="43"/>
      <c r="L267" s="43"/>
      <c r="M267" s="43"/>
    </row>
    <row r="268" spans="2:17" ht="15" customHeight="1" x14ac:dyDescent="0.25">
      <c r="C268" s="43"/>
      <c r="D268" s="43"/>
      <c r="E268" s="43"/>
      <c r="F268" s="43"/>
      <c r="G268" s="66"/>
      <c r="H268" s="43"/>
      <c r="I268" s="43"/>
      <c r="J268" s="43"/>
      <c r="K268" s="43"/>
      <c r="L268" s="43"/>
      <c r="M268" s="43"/>
    </row>
  </sheetData>
  <mergeCells count="4">
    <mergeCell ref="B1:J1"/>
    <mergeCell ref="B2:J2"/>
    <mergeCell ref="B3:J3"/>
    <mergeCell ref="B4:J4"/>
  </mergeCells>
  <phoneticPr fontId="10" type="noConversion"/>
  <pageMargins left="0.75" right="0.75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AK80"/>
  <sheetViews>
    <sheetView topLeftCell="M1" workbookViewId="0">
      <selection activeCell="AB68" sqref="AB68"/>
    </sheetView>
  </sheetViews>
  <sheetFormatPr baseColWidth="10" defaultColWidth="11.44140625" defaultRowHeight="15" customHeight="1" x14ac:dyDescent="0.25"/>
  <cols>
    <col min="1" max="1" width="2.6640625" style="13" customWidth="1"/>
    <col min="2" max="2" width="17.88671875" style="13" customWidth="1"/>
    <col min="3" max="7" width="12.6640625" style="13" customWidth="1"/>
    <col min="8" max="8" width="11.88671875" style="13" customWidth="1"/>
    <col min="9" max="9" width="13.33203125" style="13" customWidth="1"/>
    <col min="10" max="10" width="12.5546875" style="13" customWidth="1"/>
    <col min="11" max="11" width="12.33203125" style="13" customWidth="1"/>
    <col min="12" max="12" width="12" style="13" customWidth="1"/>
    <col min="13" max="13" width="13.44140625" style="13" customWidth="1"/>
    <col min="14" max="14" width="14" style="13" customWidth="1"/>
    <col min="15" max="15" width="12.5546875" style="13" customWidth="1"/>
    <col min="16" max="16" width="13" style="13" customWidth="1"/>
    <col min="17" max="17" width="13.6640625" style="13" customWidth="1"/>
    <col min="18" max="18" width="13.109375" style="13" customWidth="1"/>
    <col min="19" max="19" width="12.77734375" style="13" customWidth="1"/>
    <col min="20" max="21" width="12.5546875" style="13" customWidth="1"/>
    <col min="22" max="22" width="13.109375" style="13" customWidth="1"/>
    <col min="23" max="23" width="12.77734375" style="13" customWidth="1"/>
    <col min="24" max="24" width="14.44140625" style="13" customWidth="1"/>
    <col min="25" max="25" width="12.5546875" style="13" customWidth="1"/>
    <col min="26" max="26" width="11.5546875" style="45" customWidth="1"/>
    <col min="27" max="27" width="11.6640625" style="13" customWidth="1"/>
    <col min="28" max="28" width="12.6640625" style="13" customWidth="1"/>
    <col min="29" max="29" width="11.88671875" style="13" customWidth="1"/>
    <col min="30" max="30" width="12.6640625" style="13" customWidth="1"/>
    <col min="31" max="32" width="11.6640625" style="13" customWidth="1"/>
    <col min="33" max="33" width="13.44140625" style="13" customWidth="1"/>
    <col min="34" max="34" width="12" style="45" customWidth="1"/>
    <col min="35" max="37" width="12.6640625" style="13" customWidth="1"/>
    <col min="38" max="16384" width="11.44140625" style="13"/>
  </cols>
  <sheetData>
    <row r="1" spans="2:37" ht="15" customHeight="1" x14ac:dyDescent="0.25">
      <c r="B1" s="864" t="s">
        <v>189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47"/>
      <c r="AB1" s="47"/>
      <c r="AC1" s="47"/>
      <c r="AD1" s="47"/>
      <c r="AE1" s="47"/>
      <c r="AF1" s="47"/>
      <c r="AG1" s="47"/>
      <c r="AH1" s="47"/>
      <c r="AI1" s="41"/>
      <c r="AJ1" s="41"/>
      <c r="AK1" s="41"/>
    </row>
    <row r="2" spans="2:37" ht="15" customHeight="1" x14ac:dyDescent="0.25">
      <c r="B2" s="864" t="s">
        <v>134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47"/>
      <c r="AB2" s="47"/>
      <c r="AC2" s="47"/>
      <c r="AD2" s="47"/>
      <c r="AE2" s="47"/>
      <c r="AF2" s="47"/>
      <c r="AG2" s="47"/>
      <c r="AH2" s="47"/>
      <c r="AI2" s="41"/>
      <c r="AJ2" s="41"/>
      <c r="AK2" s="41"/>
    </row>
    <row r="3" spans="2:37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  <c r="AA3" s="47"/>
      <c r="AB3" s="47"/>
      <c r="AC3" s="47"/>
      <c r="AD3" s="47"/>
      <c r="AE3" s="47"/>
      <c r="AF3" s="47"/>
      <c r="AG3" s="47"/>
      <c r="AH3" s="47"/>
      <c r="AI3" s="41"/>
      <c r="AJ3" s="41"/>
      <c r="AK3" s="41"/>
    </row>
    <row r="4" spans="2:37" ht="15" customHeight="1" thickBot="1" x14ac:dyDescent="0.3">
      <c r="B4" s="929" t="s">
        <v>135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47"/>
      <c r="AB4" s="47"/>
      <c r="AC4" s="47"/>
      <c r="AD4" s="47"/>
      <c r="AE4" s="47"/>
      <c r="AF4" s="47"/>
      <c r="AG4" s="47"/>
      <c r="AH4" s="47"/>
      <c r="AI4" s="41"/>
      <c r="AJ4" s="41"/>
      <c r="AK4" s="41"/>
    </row>
    <row r="5" spans="2:37" ht="15" customHeight="1" x14ac:dyDescent="0.25">
      <c r="B5" s="922" t="s">
        <v>100</v>
      </c>
      <c r="C5" s="922" t="s">
        <v>136</v>
      </c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4"/>
      <c r="AH5" s="13"/>
      <c r="AI5" s="928"/>
      <c r="AJ5" s="928"/>
      <c r="AK5" s="928"/>
    </row>
    <row r="6" spans="2:37" ht="15" customHeight="1" thickBot="1" x14ac:dyDescent="0.3">
      <c r="B6" s="932"/>
      <c r="C6" s="592">
        <v>1999</v>
      </c>
      <c r="D6" s="587">
        <v>2000</v>
      </c>
      <c r="E6" s="586">
        <v>2001</v>
      </c>
      <c r="F6" s="588">
        <v>2002</v>
      </c>
      <c r="G6" s="589">
        <v>2003</v>
      </c>
      <c r="H6" s="589">
        <v>2004</v>
      </c>
      <c r="I6" s="589">
        <v>2005</v>
      </c>
      <c r="J6" s="589">
        <v>2006</v>
      </c>
      <c r="K6" s="589">
        <v>2007</v>
      </c>
      <c r="L6" s="589">
        <v>2008</v>
      </c>
      <c r="M6" s="589">
        <v>2009</v>
      </c>
      <c r="N6" s="589">
        <v>2010</v>
      </c>
      <c r="O6" s="589">
        <v>2011</v>
      </c>
      <c r="P6" s="589">
        <v>2012</v>
      </c>
      <c r="Q6" s="589">
        <v>2013</v>
      </c>
      <c r="R6" s="589">
        <v>2014</v>
      </c>
      <c r="S6" s="589">
        <v>2015</v>
      </c>
      <c r="T6" s="733">
        <v>2016</v>
      </c>
      <c r="U6" s="756">
        <v>2017</v>
      </c>
      <c r="V6" s="769">
        <v>2018</v>
      </c>
      <c r="W6" s="781">
        <v>2019</v>
      </c>
      <c r="X6" s="805">
        <v>2020</v>
      </c>
      <c r="Y6" s="825">
        <v>2021</v>
      </c>
      <c r="Z6" s="552" t="s">
        <v>102</v>
      </c>
      <c r="AH6" s="13"/>
      <c r="AI6" s="31"/>
      <c r="AJ6" s="31"/>
      <c r="AK6" s="31"/>
    </row>
    <row r="7" spans="2:37" ht="15" customHeight="1" x14ac:dyDescent="0.25">
      <c r="B7" s="574"/>
      <c r="C7" s="25"/>
      <c r="D7" s="1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74"/>
      <c r="AH7" s="13"/>
      <c r="AI7" s="79"/>
      <c r="AJ7" s="79"/>
      <c r="AK7" s="80"/>
    </row>
    <row r="8" spans="2:37" ht="15" customHeight="1" x14ac:dyDescent="0.25">
      <c r="B8" s="577" t="s">
        <v>86</v>
      </c>
      <c r="C8" s="22">
        <v>245275</v>
      </c>
      <c r="D8" s="11">
        <v>289815</v>
      </c>
      <c r="E8" s="137">
        <v>229511</v>
      </c>
      <c r="F8" s="137">
        <v>146245</v>
      </c>
      <c r="G8" s="137">
        <v>164960</v>
      </c>
      <c r="H8" s="137">
        <v>136552</v>
      </c>
      <c r="I8" s="137">
        <v>124755</v>
      </c>
      <c r="J8" s="137">
        <v>93973</v>
      </c>
      <c r="K8" s="137">
        <v>96753</v>
      </c>
      <c r="L8" s="137">
        <v>108113</v>
      </c>
      <c r="M8" s="137">
        <f>80245+13557</f>
        <v>93802</v>
      </c>
      <c r="N8" s="137">
        <v>175666</v>
      </c>
      <c r="O8" s="137">
        <f>73135.72+186986.68</f>
        <v>260122.4</v>
      </c>
      <c r="P8" s="137">
        <v>318652</v>
      </c>
      <c r="Q8" s="137">
        <v>164215</v>
      </c>
      <c r="R8" s="137">
        <v>365779</v>
      </c>
      <c r="S8" s="137">
        <v>363727</v>
      </c>
      <c r="T8" s="137">
        <v>366783</v>
      </c>
      <c r="U8" s="137">
        <v>360974</v>
      </c>
      <c r="V8" s="137">
        <v>355558</v>
      </c>
      <c r="W8" s="137">
        <v>364380</v>
      </c>
      <c r="X8" s="137">
        <v>341602</v>
      </c>
      <c r="Y8" s="137">
        <v>299073</v>
      </c>
      <c r="Z8" s="457">
        <f>RATE(-22,,-Y8,C8)</f>
        <v>9.054732879053352E-3</v>
      </c>
      <c r="AA8" s="465"/>
      <c r="AG8" s="657"/>
      <c r="AH8" s="13"/>
      <c r="AI8" s="79"/>
      <c r="AJ8" s="79"/>
      <c r="AK8" s="80"/>
    </row>
    <row r="9" spans="2:37" ht="15" customHeight="1" x14ac:dyDescent="0.25">
      <c r="B9" s="577" t="s">
        <v>87</v>
      </c>
      <c r="C9" s="22">
        <v>142031</v>
      </c>
      <c r="D9" s="11">
        <v>47855</v>
      </c>
      <c r="E9" s="137">
        <v>225293</v>
      </c>
      <c r="F9" s="137">
        <v>130619</v>
      </c>
      <c r="G9" s="137">
        <v>130446</v>
      </c>
      <c r="H9" s="137">
        <v>141617</v>
      </c>
      <c r="I9" s="137">
        <v>77491</v>
      </c>
      <c r="J9" s="137">
        <v>104783</v>
      </c>
      <c r="K9" s="137">
        <v>109534</v>
      </c>
      <c r="L9" s="137">
        <v>82612</v>
      </c>
      <c r="M9" s="137">
        <f>58648+93373</f>
        <v>152021</v>
      </c>
      <c r="N9" s="137">
        <v>158012</v>
      </c>
      <c r="O9" s="137">
        <f>24058.3+95511.86</f>
        <v>119570.16</v>
      </c>
      <c r="P9" s="137">
        <v>325538</v>
      </c>
      <c r="Q9" s="137">
        <v>366162</v>
      </c>
      <c r="R9" s="137">
        <v>380967.21</v>
      </c>
      <c r="S9" s="11">
        <v>350639</v>
      </c>
      <c r="T9" s="137">
        <v>350656</v>
      </c>
      <c r="U9" s="137">
        <v>355424</v>
      </c>
      <c r="V9" s="137">
        <v>337725</v>
      </c>
      <c r="W9" s="137">
        <v>366099</v>
      </c>
      <c r="X9" s="137">
        <v>334779</v>
      </c>
      <c r="Y9" s="137">
        <v>309089</v>
      </c>
      <c r="Z9" s="457">
        <f t="shared" ref="Z9:Z11" si="0">RATE(-22,,-Y9,C9)</f>
        <v>3.5976772823059631E-2</v>
      </c>
      <c r="AA9" s="465"/>
      <c r="AH9" s="13"/>
      <c r="AI9" s="79"/>
      <c r="AJ9" s="79"/>
      <c r="AK9" s="80"/>
    </row>
    <row r="10" spans="2:37" ht="15" customHeight="1" x14ac:dyDescent="0.25">
      <c r="B10" s="577" t="s">
        <v>88</v>
      </c>
      <c r="C10" s="22">
        <v>391478</v>
      </c>
      <c r="D10" s="11">
        <v>45817</v>
      </c>
      <c r="E10" s="137">
        <v>143845</v>
      </c>
      <c r="F10" s="137">
        <v>80914</v>
      </c>
      <c r="G10" s="137">
        <v>135461</v>
      </c>
      <c r="H10" s="137">
        <v>163879</v>
      </c>
      <c r="I10" s="137">
        <v>108714</v>
      </c>
      <c r="J10" s="137">
        <v>166529</v>
      </c>
      <c r="K10" s="137">
        <v>212580</v>
      </c>
      <c r="L10" s="137">
        <v>112429</v>
      </c>
      <c r="M10" s="137">
        <f>150257+36405</f>
        <v>186662</v>
      </c>
      <c r="N10" s="137">
        <v>248996</v>
      </c>
      <c r="O10" s="137">
        <f>78945.87+199692.22</f>
        <v>278638.08999999997</v>
      </c>
      <c r="P10" s="137">
        <v>327234</v>
      </c>
      <c r="Q10" s="137">
        <v>58500</v>
      </c>
      <c r="R10" s="137">
        <v>361095</v>
      </c>
      <c r="S10" s="11">
        <v>382540</v>
      </c>
      <c r="T10" s="137">
        <v>361932</v>
      </c>
      <c r="U10" s="137">
        <v>407898</v>
      </c>
      <c r="V10" s="137">
        <v>373299</v>
      </c>
      <c r="W10" s="137">
        <v>360033</v>
      </c>
      <c r="X10" s="137">
        <v>326295</v>
      </c>
      <c r="Y10" s="137">
        <v>368249</v>
      </c>
      <c r="Z10" s="457">
        <f t="shared" si="0"/>
        <v>-2.7765917522586518E-3</v>
      </c>
      <c r="AA10" s="466"/>
      <c r="AH10" s="13"/>
      <c r="AI10" s="79"/>
      <c r="AJ10" s="79"/>
      <c r="AK10" s="80"/>
    </row>
    <row r="11" spans="2:37" ht="15" customHeight="1" x14ac:dyDescent="0.25">
      <c r="B11" s="570" t="s">
        <v>115</v>
      </c>
      <c r="C11" s="21">
        <f t="shared" ref="C11:Y11" si="1">SUM(C8:C10)</f>
        <v>778784</v>
      </c>
      <c r="D11" s="17">
        <f t="shared" si="1"/>
        <v>383487</v>
      </c>
      <c r="E11" s="17">
        <f t="shared" si="1"/>
        <v>598649</v>
      </c>
      <c r="F11" s="17">
        <f t="shared" si="1"/>
        <v>357778</v>
      </c>
      <c r="G11" s="17">
        <f t="shared" si="1"/>
        <v>430867</v>
      </c>
      <c r="H11" s="17">
        <f t="shared" si="1"/>
        <v>442048</v>
      </c>
      <c r="I11" s="17">
        <f t="shared" si="1"/>
        <v>310960</v>
      </c>
      <c r="J11" s="17">
        <f t="shared" si="1"/>
        <v>365285</v>
      </c>
      <c r="K11" s="17">
        <f t="shared" si="1"/>
        <v>418867</v>
      </c>
      <c r="L11" s="17">
        <f t="shared" si="1"/>
        <v>303154</v>
      </c>
      <c r="M11" s="17">
        <f t="shared" si="1"/>
        <v>432485</v>
      </c>
      <c r="N11" s="17">
        <f t="shared" si="1"/>
        <v>582674</v>
      </c>
      <c r="O11" s="17">
        <f t="shared" si="1"/>
        <v>658330.64999999991</v>
      </c>
      <c r="P11" s="17">
        <f t="shared" si="1"/>
        <v>971424</v>
      </c>
      <c r="Q11" s="17">
        <f t="shared" si="1"/>
        <v>588877</v>
      </c>
      <c r="R11" s="138">
        <f t="shared" si="1"/>
        <v>1107841.21</v>
      </c>
      <c r="S11" s="138">
        <f t="shared" si="1"/>
        <v>1096906</v>
      </c>
      <c r="T11" s="138">
        <f t="shared" si="1"/>
        <v>1079371</v>
      </c>
      <c r="U11" s="138">
        <f t="shared" si="1"/>
        <v>1124296</v>
      </c>
      <c r="V11" s="138">
        <f t="shared" si="1"/>
        <v>1066582</v>
      </c>
      <c r="W11" s="138">
        <f t="shared" si="1"/>
        <v>1090512</v>
      </c>
      <c r="X11" s="138">
        <f t="shared" si="1"/>
        <v>1002676</v>
      </c>
      <c r="Y11" s="138">
        <f t="shared" si="1"/>
        <v>976411</v>
      </c>
      <c r="Z11" s="458">
        <f t="shared" si="0"/>
        <v>1.0332555767508673E-2</v>
      </c>
      <c r="AH11" s="13"/>
      <c r="AI11" s="81"/>
      <c r="AJ11" s="81"/>
      <c r="AK11" s="82"/>
    </row>
    <row r="12" spans="2:37" ht="15" customHeight="1" x14ac:dyDescent="0.25">
      <c r="B12" s="577"/>
      <c r="C12" s="22"/>
      <c r="D12" s="11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1"/>
      <c r="T12" s="137"/>
      <c r="U12" s="137"/>
      <c r="V12" s="137"/>
      <c r="W12" s="137"/>
      <c r="X12" s="137"/>
      <c r="Y12" s="137"/>
      <c r="Z12" s="181"/>
      <c r="AH12" s="13"/>
      <c r="AI12" s="79"/>
      <c r="AJ12" s="79"/>
      <c r="AK12" s="80"/>
    </row>
    <row r="13" spans="2:37" ht="15" customHeight="1" x14ac:dyDescent="0.25">
      <c r="B13" s="577" t="s">
        <v>89</v>
      </c>
      <c r="C13" s="22">
        <v>280996</v>
      </c>
      <c r="D13" s="11">
        <v>92612</v>
      </c>
      <c r="E13" s="137">
        <v>164251</v>
      </c>
      <c r="F13" s="137">
        <v>136305</v>
      </c>
      <c r="G13" s="137">
        <v>166125</v>
      </c>
      <c r="H13" s="137">
        <v>190966</v>
      </c>
      <c r="I13" s="137">
        <v>124576</v>
      </c>
      <c r="J13" s="137">
        <v>97269</v>
      </c>
      <c r="K13" s="137">
        <v>101486</v>
      </c>
      <c r="L13" s="137">
        <v>119089</v>
      </c>
      <c r="M13" s="137">
        <f>175452+43855</f>
        <v>219307</v>
      </c>
      <c r="N13" s="137">
        <v>236157</v>
      </c>
      <c r="O13" s="137">
        <f>81892.04+211777.25</f>
        <v>293669.28999999998</v>
      </c>
      <c r="P13" s="137">
        <v>325009</v>
      </c>
      <c r="Q13" s="137">
        <v>357174</v>
      </c>
      <c r="R13" s="137">
        <v>413809</v>
      </c>
      <c r="S13" s="760">
        <v>394427</v>
      </c>
      <c r="T13" s="761">
        <v>364743</v>
      </c>
      <c r="U13" s="760">
        <v>361634</v>
      </c>
      <c r="V13" s="761">
        <v>381726</v>
      </c>
      <c r="W13" s="761">
        <v>385058</v>
      </c>
      <c r="X13" s="761">
        <v>226837</v>
      </c>
      <c r="Y13" s="761">
        <v>334010</v>
      </c>
      <c r="Z13" s="457">
        <f>RATE(-22,,-Y13,C13)</f>
        <v>7.8868705368924513E-3</v>
      </c>
      <c r="AA13" s="678"/>
      <c r="AB13"/>
      <c r="AC13"/>
      <c r="AD13"/>
      <c r="AH13" s="13"/>
      <c r="AI13" s="79"/>
      <c r="AJ13" s="79"/>
      <c r="AK13" s="80"/>
    </row>
    <row r="14" spans="2:37" ht="15" customHeight="1" x14ac:dyDescent="0.25">
      <c r="B14" s="577" t="s">
        <v>90</v>
      </c>
      <c r="C14" s="22">
        <v>118671</v>
      </c>
      <c r="D14" s="11">
        <v>177284</v>
      </c>
      <c r="E14" s="137">
        <v>182590</v>
      </c>
      <c r="F14" s="137">
        <v>185271</v>
      </c>
      <c r="G14" s="137">
        <v>184939</v>
      </c>
      <c r="H14" s="137">
        <v>160029</v>
      </c>
      <c r="I14" s="137">
        <v>120053</v>
      </c>
      <c r="J14" s="137">
        <v>143566</v>
      </c>
      <c r="K14" s="137">
        <v>118332</v>
      </c>
      <c r="L14" s="137">
        <v>111961</v>
      </c>
      <c r="M14" s="137">
        <f>48711+159408</f>
        <v>208119</v>
      </c>
      <c r="N14" s="137">
        <v>249767</v>
      </c>
      <c r="O14" s="137">
        <f>88890.46+232993.29</f>
        <v>321883.75</v>
      </c>
      <c r="P14" s="137">
        <v>391733</v>
      </c>
      <c r="Q14" s="137">
        <v>403786</v>
      </c>
      <c r="R14" s="137">
        <v>382826</v>
      </c>
      <c r="S14" s="760">
        <v>352747</v>
      </c>
      <c r="T14" s="761">
        <v>373832</v>
      </c>
      <c r="U14" s="760">
        <v>395139</v>
      </c>
      <c r="V14" s="761">
        <v>391780</v>
      </c>
      <c r="W14" s="761">
        <v>393345</v>
      </c>
      <c r="X14" s="761">
        <v>269433</v>
      </c>
      <c r="Y14" s="761">
        <v>320844</v>
      </c>
      <c r="Z14" s="457">
        <f t="shared" ref="Z14:Z16" si="2">RATE(-22,,-Y14,C14)</f>
        <v>4.6246600798681252E-2</v>
      </c>
      <c r="AA14"/>
      <c r="AB14"/>
      <c r="AC14"/>
      <c r="AD14"/>
      <c r="AH14" s="13"/>
      <c r="AI14" s="79"/>
      <c r="AJ14" s="79"/>
      <c r="AK14" s="80"/>
    </row>
    <row r="15" spans="2:37" ht="15" customHeight="1" x14ac:dyDescent="0.25">
      <c r="B15" s="577" t="s">
        <v>91</v>
      </c>
      <c r="C15" s="22">
        <v>313180</v>
      </c>
      <c r="D15" s="11">
        <v>156212</v>
      </c>
      <c r="E15" s="137">
        <v>191075</v>
      </c>
      <c r="F15" s="137">
        <v>144287</v>
      </c>
      <c r="G15" s="137">
        <v>145953</v>
      </c>
      <c r="H15" s="137">
        <v>136117</v>
      </c>
      <c r="I15" s="137">
        <v>100362</v>
      </c>
      <c r="J15" s="137">
        <v>141936</v>
      </c>
      <c r="K15" s="137">
        <v>122115</v>
      </c>
      <c r="L15" s="137">
        <v>134045</v>
      </c>
      <c r="M15" s="137">
        <f>51533+166669</f>
        <v>218202</v>
      </c>
      <c r="N15" s="137">
        <v>236282</v>
      </c>
      <c r="O15" s="137">
        <f>92402.92+243430.61</f>
        <v>335833.52999999997</v>
      </c>
      <c r="P15" s="137">
        <v>376231</v>
      </c>
      <c r="Q15" s="137">
        <v>389200</v>
      </c>
      <c r="R15" s="137">
        <v>360418</v>
      </c>
      <c r="S15" s="760">
        <v>373299.49</v>
      </c>
      <c r="T15" s="761">
        <v>366759</v>
      </c>
      <c r="U15" s="760">
        <v>385808</v>
      </c>
      <c r="V15" s="761">
        <v>369200</v>
      </c>
      <c r="W15" s="761">
        <v>346723</v>
      </c>
      <c r="X15" s="761">
        <v>291902</v>
      </c>
      <c r="Y15" s="761">
        <v>329935</v>
      </c>
      <c r="Z15" s="457">
        <f t="shared" si="2"/>
        <v>2.3717882614201369E-3</v>
      </c>
      <c r="AA15"/>
      <c r="AB15"/>
      <c r="AC15"/>
      <c r="AD15"/>
      <c r="AH15" s="13"/>
      <c r="AI15" s="79"/>
      <c r="AJ15" s="79"/>
      <c r="AK15" s="80"/>
    </row>
    <row r="16" spans="2:37" ht="15" customHeight="1" x14ac:dyDescent="0.25">
      <c r="B16" s="570" t="s">
        <v>116</v>
      </c>
      <c r="C16" s="21">
        <f t="shared" ref="C16:Y16" si="3">SUM(C13:C15)</f>
        <v>712847</v>
      </c>
      <c r="D16" s="17">
        <f t="shared" si="3"/>
        <v>426108</v>
      </c>
      <c r="E16" s="17">
        <f t="shared" si="3"/>
        <v>537916</v>
      </c>
      <c r="F16" s="17">
        <f t="shared" si="3"/>
        <v>465863</v>
      </c>
      <c r="G16" s="17">
        <f t="shared" si="3"/>
        <v>497017</v>
      </c>
      <c r="H16" s="17">
        <f t="shared" si="3"/>
        <v>487112</v>
      </c>
      <c r="I16" s="17">
        <f t="shared" si="3"/>
        <v>344991</v>
      </c>
      <c r="J16" s="17">
        <f t="shared" si="3"/>
        <v>382771</v>
      </c>
      <c r="K16" s="17">
        <f t="shared" si="3"/>
        <v>341933</v>
      </c>
      <c r="L16" s="17">
        <f t="shared" si="3"/>
        <v>365095</v>
      </c>
      <c r="M16" s="17">
        <f t="shared" si="3"/>
        <v>645628</v>
      </c>
      <c r="N16" s="17">
        <f t="shared" si="3"/>
        <v>722206</v>
      </c>
      <c r="O16" s="17">
        <f t="shared" si="3"/>
        <v>951386.57000000007</v>
      </c>
      <c r="P16" s="17">
        <f t="shared" si="3"/>
        <v>1092973</v>
      </c>
      <c r="Q16" s="17">
        <f t="shared" si="3"/>
        <v>1150160</v>
      </c>
      <c r="R16" s="138">
        <f t="shared" si="3"/>
        <v>1157053</v>
      </c>
      <c r="S16" s="138">
        <f t="shared" si="3"/>
        <v>1120473.49</v>
      </c>
      <c r="T16" s="138">
        <f t="shared" si="3"/>
        <v>1105334</v>
      </c>
      <c r="U16" s="17">
        <f t="shared" si="3"/>
        <v>1142581</v>
      </c>
      <c r="V16" s="17">
        <f t="shared" si="3"/>
        <v>1142706</v>
      </c>
      <c r="W16" s="17">
        <f t="shared" si="3"/>
        <v>1125126</v>
      </c>
      <c r="X16" s="17">
        <f t="shared" si="3"/>
        <v>788172</v>
      </c>
      <c r="Y16" s="17">
        <f t="shared" si="3"/>
        <v>984789</v>
      </c>
      <c r="Z16" s="458">
        <f t="shared" si="2"/>
        <v>1.479753318791825E-2</v>
      </c>
      <c r="AA16"/>
      <c r="AB16"/>
      <c r="AC16"/>
      <c r="AD16"/>
      <c r="AH16" s="13"/>
      <c r="AI16" s="81"/>
      <c r="AJ16" s="81"/>
      <c r="AK16" s="82"/>
    </row>
    <row r="17" spans="2:37" ht="15" customHeight="1" x14ac:dyDescent="0.25">
      <c r="B17" s="577"/>
      <c r="C17" s="22"/>
      <c r="D17" s="11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81"/>
      <c r="AA17"/>
      <c r="AB17"/>
      <c r="AC17"/>
      <c r="AD17"/>
      <c r="AH17" s="13"/>
      <c r="AI17" s="79"/>
      <c r="AJ17" s="79"/>
      <c r="AK17" s="80"/>
    </row>
    <row r="18" spans="2:37" ht="15" customHeight="1" x14ac:dyDescent="0.25">
      <c r="B18" s="577" t="s">
        <v>93</v>
      </c>
      <c r="C18" s="22">
        <v>228106</v>
      </c>
      <c r="D18" s="11">
        <v>183266</v>
      </c>
      <c r="E18" s="137">
        <v>215570</v>
      </c>
      <c r="F18" s="137">
        <v>169066</v>
      </c>
      <c r="G18" s="137">
        <v>192002</v>
      </c>
      <c r="H18" s="137">
        <v>163121</v>
      </c>
      <c r="I18" s="137">
        <v>120686</v>
      </c>
      <c r="J18" s="137">
        <v>121651</v>
      </c>
      <c r="K18" s="137">
        <v>140334</v>
      </c>
      <c r="L18" s="137">
        <v>146071</v>
      </c>
      <c r="M18" s="137">
        <f>53081+138507</f>
        <v>191588</v>
      </c>
      <c r="N18" s="137">
        <v>247458</v>
      </c>
      <c r="O18" s="137">
        <f>90616.46+260955.7</f>
        <v>351572.16000000003</v>
      </c>
      <c r="P18" s="137">
        <v>412874</v>
      </c>
      <c r="Q18" s="137">
        <v>429020</v>
      </c>
      <c r="R18" s="137">
        <v>383914</v>
      </c>
      <c r="S18" s="137">
        <v>380644.29</v>
      </c>
      <c r="T18" s="137">
        <v>378440</v>
      </c>
      <c r="U18" s="137">
        <v>394675</v>
      </c>
      <c r="V18" s="137">
        <v>386128</v>
      </c>
      <c r="W18" s="137">
        <v>351805</v>
      </c>
      <c r="X18" s="137">
        <v>326398</v>
      </c>
      <c r="Y18" s="137">
        <v>326608</v>
      </c>
      <c r="Z18" s="457">
        <f>RATE(-22,,-Y18,C18)</f>
        <v>1.6449751578066621E-2</v>
      </c>
      <c r="AA18" s="678"/>
      <c r="AB18"/>
      <c r="AC18"/>
      <c r="AD18"/>
      <c r="AH18" s="13"/>
      <c r="AI18" s="79"/>
      <c r="AJ18" s="79"/>
      <c r="AK18" s="80"/>
    </row>
    <row r="19" spans="2:37" ht="15" customHeight="1" x14ac:dyDescent="0.25">
      <c r="B19" s="577" t="s">
        <v>94</v>
      </c>
      <c r="C19" s="22">
        <v>208102</v>
      </c>
      <c r="D19" s="11">
        <v>239007</v>
      </c>
      <c r="E19" s="137">
        <v>176072</v>
      </c>
      <c r="F19" s="137">
        <v>150436</v>
      </c>
      <c r="G19" s="137">
        <v>182479</v>
      </c>
      <c r="H19" s="137">
        <v>126319</v>
      </c>
      <c r="I19" s="137">
        <v>123514</v>
      </c>
      <c r="J19" s="137">
        <v>134286</v>
      </c>
      <c r="K19" s="137">
        <v>161595</v>
      </c>
      <c r="L19" s="137">
        <v>130780</v>
      </c>
      <c r="M19" s="137">
        <f>54067+149378</f>
        <v>203445</v>
      </c>
      <c r="N19" s="137">
        <v>251034</v>
      </c>
      <c r="O19" s="137">
        <f>96432.75+257158.97</f>
        <v>353591.72</v>
      </c>
      <c r="P19" s="137">
        <v>66800</v>
      </c>
      <c r="Q19" s="137">
        <v>419008</v>
      </c>
      <c r="R19" s="137">
        <v>352764</v>
      </c>
      <c r="S19" s="137">
        <v>391343</v>
      </c>
      <c r="T19" s="137">
        <v>379646</v>
      </c>
      <c r="U19" s="137">
        <v>382945</v>
      </c>
      <c r="V19" s="137">
        <v>409014</v>
      </c>
      <c r="W19" s="137">
        <v>360179</v>
      </c>
      <c r="X19" s="137">
        <v>316052</v>
      </c>
      <c r="Y19" s="137">
        <v>328589</v>
      </c>
      <c r="Z19" s="457">
        <f t="shared" ref="Z19:Z21" si="4">RATE(-22,,-Y19,C19)</f>
        <v>2.0979743726141253E-2</v>
      </c>
      <c r="AA19"/>
      <c r="AB19"/>
      <c r="AC19"/>
      <c r="AD19"/>
      <c r="AH19" s="13"/>
      <c r="AI19" s="79"/>
      <c r="AJ19" s="79"/>
      <c r="AK19" s="80"/>
    </row>
    <row r="20" spans="2:37" ht="15" customHeight="1" x14ac:dyDescent="0.25">
      <c r="B20" s="577" t="s">
        <v>101</v>
      </c>
      <c r="C20" s="22">
        <v>273226</v>
      </c>
      <c r="D20" s="11">
        <v>170219</v>
      </c>
      <c r="E20" s="137">
        <v>121289</v>
      </c>
      <c r="F20" s="137">
        <v>151370</v>
      </c>
      <c r="G20" s="137">
        <v>183118</v>
      </c>
      <c r="H20" s="137">
        <v>139465</v>
      </c>
      <c r="I20" s="137">
        <v>130164</v>
      </c>
      <c r="J20" s="137">
        <v>108223</v>
      </c>
      <c r="K20" s="137">
        <v>112295</v>
      </c>
      <c r="L20" s="137">
        <v>135030</v>
      </c>
      <c r="M20" s="137">
        <f>55499+149486</f>
        <v>204985</v>
      </c>
      <c r="N20" s="137">
        <v>253235</v>
      </c>
      <c r="O20" s="137">
        <f>100138.63+252669.4</f>
        <v>352808.03</v>
      </c>
      <c r="P20" s="137">
        <v>362572</v>
      </c>
      <c r="Q20" s="137">
        <v>407714</v>
      </c>
      <c r="R20" s="137">
        <v>383712</v>
      </c>
      <c r="S20" s="137">
        <v>384212.43</v>
      </c>
      <c r="T20" s="137">
        <v>365604</v>
      </c>
      <c r="U20" s="137">
        <v>386168</v>
      </c>
      <c r="V20" s="137">
        <v>364838</v>
      </c>
      <c r="W20" s="137">
        <v>352463</v>
      </c>
      <c r="X20" s="137">
        <v>352435</v>
      </c>
      <c r="Y20" s="137">
        <v>336907</v>
      </c>
      <c r="Z20" s="457">
        <f t="shared" si="4"/>
        <v>9.5685631344860165E-3</v>
      </c>
      <c r="AA20" s="678"/>
      <c r="AB20"/>
      <c r="AC20"/>
      <c r="AD20"/>
      <c r="AH20" s="13"/>
      <c r="AI20" s="79"/>
      <c r="AJ20" s="79"/>
      <c r="AK20" s="80"/>
    </row>
    <row r="21" spans="2:37" ht="15" customHeight="1" x14ac:dyDescent="0.25">
      <c r="B21" s="570" t="s">
        <v>117</v>
      </c>
      <c r="C21" s="21">
        <f t="shared" ref="C21:Y21" si="5">SUM(C18:C20)</f>
        <v>709434</v>
      </c>
      <c r="D21" s="17">
        <f t="shared" si="5"/>
        <v>592492</v>
      </c>
      <c r="E21" s="17">
        <f t="shared" si="5"/>
        <v>512931</v>
      </c>
      <c r="F21" s="17">
        <f t="shared" si="5"/>
        <v>470872</v>
      </c>
      <c r="G21" s="17">
        <f t="shared" si="5"/>
        <v>557599</v>
      </c>
      <c r="H21" s="17">
        <f t="shared" si="5"/>
        <v>428905</v>
      </c>
      <c r="I21" s="17">
        <f t="shared" si="5"/>
        <v>374364</v>
      </c>
      <c r="J21" s="17">
        <f t="shared" si="5"/>
        <v>364160</v>
      </c>
      <c r="K21" s="17">
        <f t="shared" si="5"/>
        <v>414224</v>
      </c>
      <c r="L21" s="17">
        <f t="shared" si="5"/>
        <v>411881</v>
      </c>
      <c r="M21" s="17">
        <f t="shared" si="5"/>
        <v>600018</v>
      </c>
      <c r="N21" s="17">
        <f t="shared" si="5"/>
        <v>751727</v>
      </c>
      <c r="O21" s="17">
        <f t="shared" si="5"/>
        <v>1057971.9100000001</v>
      </c>
      <c r="P21" s="17">
        <f t="shared" si="5"/>
        <v>842246</v>
      </c>
      <c r="Q21" s="17">
        <f t="shared" si="5"/>
        <v>1255742</v>
      </c>
      <c r="R21" s="17">
        <f t="shared" si="5"/>
        <v>1120390</v>
      </c>
      <c r="S21" s="17">
        <f t="shared" si="5"/>
        <v>1156199.72</v>
      </c>
      <c r="T21" s="17">
        <f t="shared" si="5"/>
        <v>1123690</v>
      </c>
      <c r="U21" s="17">
        <f t="shared" si="5"/>
        <v>1163788</v>
      </c>
      <c r="V21" s="17">
        <f t="shared" si="5"/>
        <v>1159980</v>
      </c>
      <c r="W21" s="17">
        <f t="shared" si="5"/>
        <v>1064447</v>
      </c>
      <c r="X21" s="17">
        <f t="shared" si="5"/>
        <v>994885</v>
      </c>
      <c r="Y21" s="17">
        <f t="shared" si="5"/>
        <v>992104</v>
      </c>
      <c r="Z21" s="458">
        <f t="shared" si="4"/>
        <v>1.536043496198277E-2</v>
      </c>
      <c r="AA21"/>
      <c r="AB21"/>
      <c r="AC21"/>
      <c r="AD21"/>
      <c r="AH21" s="13"/>
      <c r="AI21" s="81"/>
      <c r="AJ21" s="81"/>
      <c r="AK21" s="82"/>
    </row>
    <row r="22" spans="2:37" ht="15" customHeight="1" x14ac:dyDescent="0.25">
      <c r="B22" s="577"/>
      <c r="C22" s="22"/>
      <c r="D22" s="11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81"/>
      <c r="AA22"/>
      <c r="AB22"/>
      <c r="AC22"/>
      <c r="AD22"/>
      <c r="AH22" s="13"/>
      <c r="AI22" s="79"/>
      <c r="AJ22" s="79"/>
      <c r="AK22" s="80"/>
    </row>
    <row r="23" spans="2:37" ht="15" customHeight="1" x14ac:dyDescent="0.25">
      <c r="B23" s="577" t="s">
        <v>95</v>
      </c>
      <c r="C23" s="22">
        <v>232330</v>
      </c>
      <c r="D23" s="11">
        <v>187546</v>
      </c>
      <c r="E23" s="137">
        <v>168183</v>
      </c>
      <c r="F23" s="137">
        <v>147115</v>
      </c>
      <c r="G23" s="137">
        <v>204727</v>
      </c>
      <c r="H23" s="137">
        <v>134943</v>
      </c>
      <c r="I23" s="137">
        <v>138515</v>
      </c>
      <c r="J23" s="137">
        <v>142287</v>
      </c>
      <c r="K23" s="137">
        <v>132330</v>
      </c>
      <c r="L23" s="137">
        <v>161364</v>
      </c>
      <c r="M23" s="137">
        <f>61020+104639</f>
        <v>165659</v>
      </c>
      <c r="N23" s="137">
        <v>259956</v>
      </c>
      <c r="O23" s="137">
        <f>99119.78+256195.42</f>
        <v>355315.20000000001</v>
      </c>
      <c r="P23" s="137">
        <v>394446</v>
      </c>
      <c r="Q23" s="137">
        <v>412487</v>
      </c>
      <c r="R23" s="137">
        <v>414560</v>
      </c>
      <c r="S23" s="137">
        <v>439152.42</v>
      </c>
      <c r="T23" s="137">
        <v>397298</v>
      </c>
      <c r="U23" s="137">
        <v>379994</v>
      </c>
      <c r="V23" s="137">
        <v>419894</v>
      </c>
      <c r="W23" s="137">
        <v>394477</v>
      </c>
      <c r="X23" s="137">
        <v>350649</v>
      </c>
      <c r="Y23" s="137">
        <v>361416</v>
      </c>
      <c r="Z23" s="457">
        <f>RATE(-22,,-Y23,C23)</f>
        <v>2.0288101390363307E-2</v>
      </c>
      <c r="AA23"/>
      <c r="AB23"/>
      <c r="AC23"/>
      <c r="AD23"/>
      <c r="AH23" s="13"/>
      <c r="AI23" s="79"/>
      <c r="AJ23" s="79"/>
      <c r="AK23" s="80"/>
    </row>
    <row r="24" spans="2:37" ht="15" customHeight="1" x14ac:dyDescent="0.25">
      <c r="B24" s="577" t="s">
        <v>96</v>
      </c>
      <c r="C24" s="22">
        <v>163407</v>
      </c>
      <c r="D24" s="11">
        <v>212051</v>
      </c>
      <c r="E24" s="137">
        <v>200651</v>
      </c>
      <c r="F24" s="137">
        <v>180642</v>
      </c>
      <c r="G24" s="137">
        <v>164739</v>
      </c>
      <c r="H24" s="137">
        <v>119642</v>
      </c>
      <c r="I24" s="137">
        <v>100977</v>
      </c>
      <c r="J24" s="137">
        <v>123485</v>
      </c>
      <c r="K24" s="137">
        <v>106074</v>
      </c>
      <c r="L24" s="137">
        <v>107059</v>
      </c>
      <c r="M24" s="137">
        <f>58327+95015</f>
        <v>153342</v>
      </c>
      <c r="N24" s="137">
        <v>235426</v>
      </c>
      <c r="O24" s="137">
        <f>80157.17+227252.5</f>
        <v>307409.67</v>
      </c>
      <c r="P24" s="137">
        <v>376991</v>
      </c>
      <c r="Q24" s="137">
        <v>375444</v>
      </c>
      <c r="R24" s="137">
        <v>358837</v>
      </c>
      <c r="S24" s="137">
        <v>358845.42</v>
      </c>
      <c r="T24" s="137">
        <v>347269</v>
      </c>
      <c r="U24" s="137">
        <v>359094</v>
      </c>
      <c r="V24" s="137">
        <v>380745</v>
      </c>
      <c r="W24" s="137">
        <v>334972</v>
      </c>
      <c r="X24" s="137">
        <v>300364</v>
      </c>
      <c r="Y24" s="137">
        <v>309816</v>
      </c>
      <c r="Z24" s="457">
        <f t="shared" ref="Z24:Z26" si="6">RATE(-22,,-Y24,C24)</f>
        <v>2.9505760865143199E-2</v>
      </c>
      <c r="AA24"/>
      <c r="AB24"/>
      <c r="AC24"/>
      <c r="AD24"/>
      <c r="AH24" s="13"/>
      <c r="AI24" s="79"/>
      <c r="AJ24" s="79"/>
      <c r="AK24" s="80"/>
    </row>
    <row r="25" spans="2:37" ht="15" customHeight="1" x14ac:dyDescent="0.25">
      <c r="B25" s="577" t="s">
        <v>97</v>
      </c>
      <c r="C25" s="22">
        <v>295184</v>
      </c>
      <c r="D25" s="11">
        <v>255405</v>
      </c>
      <c r="E25" s="137">
        <v>141153</v>
      </c>
      <c r="F25" s="137">
        <v>158817</v>
      </c>
      <c r="G25" s="137">
        <v>183994</v>
      </c>
      <c r="H25" s="137">
        <v>141984</v>
      </c>
      <c r="I25" s="137">
        <v>147986</v>
      </c>
      <c r="J25" s="137">
        <v>121340</v>
      </c>
      <c r="K25" s="137">
        <v>112640</v>
      </c>
      <c r="L25" s="137">
        <v>119747</v>
      </c>
      <c r="M25" s="137">
        <f>62071+110601</f>
        <v>172672</v>
      </c>
      <c r="N25" s="137">
        <v>242974</v>
      </c>
      <c r="O25" s="137">
        <f>87804.84+256702.6</f>
        <v>344507.44</v>
      </c>
      <c r="P25" s="137">
        <v>405467</v>
      </c>
      <c r="Q25" s="137">
        <v>380825.82</v>
      </c>
      <c r="R25" s="137">
        <v>391373</v>
      </c>
      <c r="S25" s="137">
        <v>400176</v>
      </c>
      <c r="T25" s="137">
        <v>366417</v>
      </c>
      <c r="U25" s="137">
        <v>356761</v>
      </c>
      <c r="V25" s="137">
        <v>366519</v>
      </c>
      <c r="W25" s="137">
        <v>357096</v>
      </c>
      <c r="X25" s="137">
        <v>337181</v>
      </c>
      <c r="Y25" s="137">
        <v>343354</v>
      </c>
      <c r="Z25" s="457">
        <f t="shared" si="6"/>
        <v>6.8947095569808674E-3</v>
      </c>
      <c r="AA25" s="678"/>
      <c r="AB25"/>
      <c r="AC25"/>
      <c r="AD25"/>
      <c r="AE25" s="681"/>
      <c r="AH25" s="13"/>
      <c r="AI25" s="79"/>
      <c r="AJ25" s="79"/>
      <c r="AK25" s="80"/>
    </row>
    <row r="26" spans="2:37" ht="15" customHeight="1" x14ac:dyDescent="0.25">
      <c r="B26" s="570" t="s">
        <v>118</v>
      </c>
      <c r="C26" s="21">
        <f t="shared" ref="C26:Y26" si="7">SUM(C23:C25)</f>
        <v>690921</v>
      </c>
      <c r="D26" s="17">
        <f t="shared" si="7"/>
        <v>655002</v>
      </c>
      <c r="E26" s="17">
        <f t="shared" si="7"/>
        <v>509987</v>
      </c>
      <c r="F26" s="17">
        <f t="shared" si="7"/>
        <v>486574</v>
      </c>
      <c r="G26" s="17">
        <f t="shared" si="7"/>
        <v>553460</v>
      </c>
      <c r="H26" s="17">
        <f t="shared" si="7"/>
        <v>396569</v>
      </c>
      <c r="I26" s="17">
        <f t="shared" si="7"/>
        <v>387478</v>
      </c>
      <c r="J26" s="17">
        <f t="shared" si="7"/>
        <v>387112</v>
      </c>
      <c r="K26" s="17">
        <f t="shared" si="7"/>
        <v>351044</v>
      </c>
      <c r="L26" s="17">
        <f t="shared" si="7"/>
        <v>388170</v>
      </c>
      <c r="M26" s="17">
        <f t="shared" si="7"/>
        <v>491673</v>
      </c>
      <c r="N26" s="17">
        <f t="shared" si="7"/>
        <v>738356</v>
      </c>
      <c r="O26" s="17">
        <f t="shared" si="7"/>
        <v>1007232.31</v>
      </c>
      <c r="P26" s="17">
        <f t="shared" si="7"/>
        <v>1176904</v>
      </c>
      <c r="Q26" s="17">
        <f t="shared" si="7"/>
        <v>1168756.82</v>
      </c>
      <c r="R26" s="17">
        <f t="shared" si="7"/>
        <v>1164770</v>
      </c>
      <c r="S26" s="17">
        <f t="shared" si="7"/>
        <v>1198173.8399999999</v>
      </c>
      <c r="T26" s="17">
        <f t="shared" si="7"/>
        <v>1110984</v>
      </c>
      <c r="U26" s="17">
        <f t="shared" si="7"/>
        <v>1095849</v>
      </c>
      <c r="V26" s="17">
        <f t="shared" si="7"/>
        <v>1167158</v>
      </c>
      <c r="W26" s="17">
        <f t="shared" si="7"/>
        <v>1086545</v>
      </c>
      <c r="X26" s="17">
        <f t="shared" si="7"/>
        <v>988194</v>
      </c>
      <c r="Y26" s="17">
        <f t="shared" si="7"/>
        <v>1014586</v>
      </c>
      <c r="Z26" s="458">
        <f t="shared" si="6"/>
        <v>1.7617499958502293E-2</v>
      </c>
      <c r="AA26"/>
      <c r="AB26"/>
      <c r="AC26"/>
      <c r="AD26"/>
      <c r="AE26" s="681"/>
      <c r="AH26" s="13"/>
      <c r="AI26" s="81"/>
      <c r="AJ26" s="81"/>
      <c r="AK26" s="82"/>
    </row>
    <row r="27" spans="2:37" ht="15" customHeight="1" thickBot="1" x14ac:dyDescent="0.3">
      <c r="B27" s="585"/>
      <c r="C27" s="74"/>
      <c r="D27" s="75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658"/>
      <c r="AA27"/>
      <c r="AB27"/>
      <c r="AC27"/>
      <c r="AD27"/>
      <c r="AH27" s="13"/>
      <c r="AI27" s="79"/>
      <c r="AJ27" s="79"/>
      <c r="AK27" s="80"/>
    </row>
    <row r="28" spans="2:37" ht="15" customHeight="1" thickBot="1" x14ac:dyDescent="0.3">
      <c r="B28" s="557" t="s">
        <v>119</v>
      </c>
      <c r="C28" s="76">
        <f t="shared" ref="C28:M28" si="8">+C11+C16+C21+C26</f>
        <v>2891986</v>
      </c>
      <c r="D28" s="77">
        <f t="shared" si="8"/>
        <v>2057089</v>
      </c>
      <c r="E28" s="77">
        <f t="shared" si="8"/>
        <v>2159483</v>
      </c>
      <c r="F28" s="77">
        <f t="shared" si="8"/>
        <v>1781087</v>
      </c>
      <c r="G28" s="77">
        <f t="shared" si="8"/>
        <v>2038943</v>
      </c>
      <c r="H28" s="77">
        <f t="shared" si="8"/>
        <v>1754634</v>
      </c>
      <c r="I28" s="77">
        <f t="shared" si="8"/>
        <v>1417793</v>
      </c>
      <c r="J28" s="77">
        <f t="shared" si="8"/>
        <v>1499328</v>
      </c>
      <c r="K28" s="77">
        <f t="shared" si="8"/>
        <v>1526068</v>
      </c>
      <c r="L28" s="77">
        <f t="shared" si="8"/>
        <v>1468300</v>
      </c>
      <c r="M28" s="77">
        <f t="shared" si="8"/>
        <v>2169804</v>
      </c>
      <c r="N28" s="77">
        <f t="shared" ref="N28:Y28" si="9">+N11+N16+N21+N26</f>
        <v>2794963</v>
      </c>
      <c r="O28" s="77">
        <f t="shared" si="9"/>
        <v>3674921.44</v>
      </c>
      <c r="P28" s="77">
        <f t="shared" si="9"/>
        <v>4083547</v>
      </c>
      <c r="Q28" s="77">
        <f t="shared" si="9"/>
        <v>4163535.8200000003</v>
      </c>
      <c r="R28" s="77">
        <f t="shared" si="9"/>
        <v>4550054.21</v>
      </c>
      <c r="S28" s="77">
        <f t="shared" si="9"/>
        <v>4571753.05</v>
      </c>
      <c r="T28" s="77">
        <f t="shared" si="9"/>
        <v>4419379</v>
      </c>
      <c r="U28" s="77">
        <f t="shared" si="9"/>
        <v>4526514</v>
      </c>
      <c r="V28" s="77">
        <f t="shared" si="9"/>
        <v>4536426</v>
      </c>
      <c r="W28" s="77">
        <f t="shared" si="9"/>
        <v>4366630</v>
      </c>
      <c r="X28" s="77">
        <f t="shared" si="9"/>
        <v>3773927</v>
      </c>
      <c r="Y28" s="77">
        <f t="shared" si="9"/>
        <v>3967890</v>
      </c>
      <c r="Z28" s="459">
        <f>RATE(-22,,-Y28,C28)</f>
        <v>1.4480707975439079E-2</v>
      </c>
      <c r="AA28"/>
      <c r="AB28"/>
      <c r="AC28"/>
      <c r="AD28"/>
      <c r="AH28" s="13"/>
      <c r="AI28" s="81"/>
      <c r="AJ28" s="81"/>
      <c r="AK28" s="82"/>
    </row>
    <row r="29" spans="2:37" ht="15" customHeight="1" thickBot="1" x14ac:dyDescent="0.3">
      <c r="AA29"/>
      <c r="AB29"/>
      <c r="AC29"/>
      <c r="AD29"/>
    </row>
    <row r="30" spans="2:37" ht="15" customHeight="1" x14ac:dyDescent="0.25">
      <c r="B30" s="922" t="s">
        <v>100</v>
      </c>
      <c r="C30" s="922" t="s">
        <v>76</v>
      </c>
      <c r="D30" s="933"/>
      <c r="E30" s="933"/>
      <c r="F30" s="933"/>
      <c r="G30" s="933"/>
      <c r="H30" s="933"/>
      <c r="I30" s="933"/>
      <c r="J30" s="933"/>
      <c r="K30" s="933"/>
      <c r="L30" s="933"/>
      <c r="M30" s="933"/>
      <c r="N30" s="933"/>
      <c r="O30" s="933"/>
      <c r="P30" s="933"/>
      <c r="Q30" s="933"/>
      <c r="R30" s="933"/>
      <c r="S30" s="933"/>
      <c r="T30" s="933"/>
      <c r="U30" s="933"/>
      <c r="V30" s="933"/>
      <c r="W30" s="933"/>
      <c r="X30" s="933"/>
      <c r="Y30" s="933"/>
      <c r="Z30" s="934"/>
      <c r="AA30"/>
      <c r="AB30"/>
      <c r="AC30"/>
      <c r="AD30"/>
    </row>
    <row r="31" spans="2:37" ht="15" customHeight="1" thickBot="1" x14ac:dyDescent="0.3">
      <c r="B31" s="932"/>
      <c r="C31" s="590">
        <v>1999</v>
      </c>
      <c r="D31" s="588">
        <v>2000</v>
      </c>
      <c r="E31" s="588">
        <v>2001</v>
      </c>
      <c r="F31" s="588">
        <v>2002</v>
      </c>
      <c r="G31" s="588">
        <v>2003</v>
      </c>
      <c r="H31" s="588">
        <v>2004</v>
      </c>
      <c r="I31" s="591">
        <v>2005</v>
      </c>
      <c r="J31" s="588">
        <v>2006</v>
      </c>
      <c r="K31" s="589">
        <v>2007</v>
      </c>
      <c r="L31" s="589">
        <v>2008</v>
      </c>
      <c r="M31" s="589">
        <v>2009</v>
      </c>
      <c r="N31" s="589">
        <v>2010</v>
      </c>
      <c r="O31" s="589">
        <v>2011</v>
      </c>
      <c r="P31" s="589">
        <v>2012</v>
      </c>
      <c r="Q31" s="589">
        <v>2013</v>
      </c>
      <c r="R31" s="589">
        <v>2014</v>
      </c>
      <c r="S31" s="589">
        <v>2015</v>
      </c>
      <c r="T31" s="733">
        <v>2016</v>
      </c>
      <c r="U31" s="756">
        <v>2017</v>
      </c>
      <c r="V31" s="769">
        <v>2018</v>
      </c>
      <c r="W31" s="781">
        <v>2019</v>
      </c>
      <c r="X31" s="805">
        <v>2020</v>
      </c>
      <c r="Y31" s="825">
        <v>2021</v>
      </c>
      <c r="Z31" s="552" t="s">
        <v>102</v>
      </c>
      <c r="AA31"/>
      <c r="AB31"/>
      <c r="AC31"/>
      <c r="AD31"/>
    </row>
    <row r="32" spans="2:37" ht="15" customHeight="1" x14ac:dyDescent="0.25">
      <c r="B32" s="574"/>
      <c r="C32" s="25"/>
      <c r="D32" s="1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74"/>
      <c r="AA32"/>
      <c r="AB32"/>
      <c r="AC32"/>
      <c r="AD32"/>
    </row>
    <row r="33" spans="2:30" ht="15" customHeight="1" x14ac:dyDescent="0.25">
      <c r="B33" s="577" t="s">
        <v>86</v>
      </c>
      <c r="C33" s="22">
        <v>275012</v>
      </c>
      <c r="D33" s="11">
        <v>252502</v>
      </c>
      <c r="E33" s="137">
        <v>270594</v>
      </c>
      <c r="F33" s="137">
        <v>222088</v>
      </c>
      <c r="G33" s="137">
        <v>243859</v>
      </c>
      <c r="H33" s="137">
        <v>384441</v>
      </c>
      <c r="I33" s="137">
        <v>465350</v>
      </c>
      <c r="J33" s="137">
        <v>745078</v>
      </c>
      <c r="K33" s="137">
        <v>420609</v>
      </c>
      <c r="L33" s="137">
        <v>597127</v>
      </c>
      <c r="M33" s="137">
        <f>429122+20641</f>
        <v>449763</v>
      </c>
      <c r="N33" s="137">
        <v>448078</v>
      </c>
      <c r="O33" s="137">
        <v>766886</v>
      </c>
      <c r="P33" s="137">
        <v>743149</v>
      </c>
      <c r="Q33" s="137">
        <v>822933</v>
      </c>
      <c r="R33" s="137">
        <v>3498593</v>
      </c>
      <c r="S33" s="137">
        <v>798014</v>
      </c>
      <c r="T33" s="137">
        <v>813122</v>
      </c>
      <c r="U33" s="137">
        <v>958685</v>
      </c>
      <c r="V33" s="137">
        <v>1012746</v>
      </c>
      <c r="W33" s="137">
        <v>2103785</v>
      </c>
      <c r="X33" s="137">
        <v>1962700</v>
      </c>
      <c r="Y33" s="137">
        <v>1585313</v>
      </c>
      <c r="Z33" s="457">
        <f>RATE(-22,,-Y33,C33)</f>
        <v>8.2879553157267638E-2</v>
      </c>
      <c r="AA33"/>
      <c r="AB33"/>
      <c r="AC33"/>
      <c r="AD33"/>
    </row>
    <row r="34" spans="2:30" ht="15" customHeight="1" x14ac:dyDescent="0.25">
      <c r="B34" s="577" t="s">
        <v>87</v>
      </c>
      <c r="C34" s="22">
        <v>134397</v>
      </c>
      <c r="D34" s="11">
        <v>93082</v>
      </c>
      <c r="E34" s="137">
        <v>244783</v>
      </c>
      <c r="F34" s="137">
        <v>194359</v>
      </c>
      <c r="G34" s="137">
        <v>200494</v>
      </c>
      <c r="H34" s="137">
        <v>398063</v>
      </c>
      <c r="I34" s="137">
        <v>325044</v>
      </c>
      <c r="J34" s="137">
        <v>1115237</v>
      </c>
      <c r="K34" s="137">
        <v>394859</v>
      </c>
      <c r="L34" s="137">
        <v>426973</v>
      </c>
      <c r="M34" s="137">
        <f>426850+48493</f>
        <v>475343</v>
      </c>
      <c r="N34" s="137">
        <v>391801</v>
      </c>
      <c r="O34" s="137">
        <v>740736</v>
      </c>
      <c r="P34" s="137">
        <v>744807</v>
      </c>
      <c r="Q34" s="137">
        <v>717483</v>
      </c>
      <c r="R34" s="137">
        <v>3067338.11</v>
      </c>
      <c r="S34" s="137">
        <v>730032</v>
      </c>
      <c r="T34" s="137">
        <v>790558</v>
      </c>
      <c r="U34" s="137">
        <v>948340</v>
      </c>
      <c r="V34" s="137">
        <v>873919</v>
      </c>
      <c r="W34" s="137">
        <v>2045698</v>
      </c>
      <c r="X34" s="137">
        <v>1858193</v>
      </c>
      <c r="Y34" s="137">
        <v>1793043</v>
      </c>
      <c r="Z34" s="457">
        <f t="shared" ref="Z34:Z36" si="10">RATE(-22,,-Y34,C34)</f>
        <v>0.12498182447390715</v>
      </c>
      <c r="AA34"/>
      <c r="AB34"/>
      <c r="AC34"/>
      <c r="AD34"/>
    </row>
    <row r="35" spans="2:30" ht="15" customHeight="1" x14ac:dyDescent="0.25">
      <c r="B35" s="577" t="s">
        <v>88</v>
      </c>
      <c r="C35" s="22">
        <v>439890</v>
      </c>
      <c r="D35" s="11">
        <v>65766</v>
      </c>
      <c r="E35" s="137">
        <v>140699</v>
      </c>
      <c r="F35" s="137">
        <v>128816</v>
      </c>
      <c r="G35" s="137">
        <v>189061</v>
      </c>
      <c r="H35" s="137">
        <v>496469</v>
      </c>
      <c r="I35" s="137">
        <v>363813</v>
      </c>
      <c r="J35" s="137">
        <v>1362091</v>
      </c>
      <c r="K35" s="137">
        <v>613285</v>
      </c>
      <c r="L35" s="137">
        <v>593556</v>
      </c>
      <c r="M35" s="137">
        <f>898425+74414</f>
        <v>972839</v>
      </c>
      <c r="N35" s="137">
        <v>771605</v>
      </c>
      <c r="O35" s="137">
        <v>705852</v>
      </c>
      <c r="P35" s="137">
        <v>793696</v>
      </c>
      <c r="Q35" s="137">
        <v>190000</v>
      </c>
      <c r="R35" s="137">
        <v>3496431</v>
      </c>
      <c r="S35" s="137">
        <v>883397</v>
      </c>
      <c r="T35" s="137">
        <v>901889</v>
      </c>
      <c r="U35" s="137">
        <v>1052264</v>
      </c>
      <c r="V35" s="137">
        <v>1090796</v>
      </c>
      <c r="W35" s="137">
        <v>1974657</v>
      </c>
      <c r="X35" s="137">
        <v>1836639</v>
      </c>
      <c r="Y35" s="137">
        <v>2141505</v>
      </c>
      <c r="Z35" s="457">
        <f t="shared" si="10"/>
        <v>7.4593769845336597E-2</v>
      </c>
      <c r="AA35"/>
      <c r="AB35"/>
      <c r="AC35"/>
      <c r="AD35"/>
    </row>
    <row r="36" spans="2:30" ht="15" customHeight="1" x14ac:dyDescent="0.25">
      <c r="B36" s="570" t="s">
        <v>115</v>
      </c>
      <c r="C36" s="21">
        <f>SUM(C33:C35)</f>
        <v>849299</v>
      </c>
      <c r="D36" s="17">
        <f>SUM(D33:D35)</f>
        <v>411350</v>
      </c>
      <c r="E36" s="17">
        <f>SUM(E33:E35)</f>
        <v>656076</v>
      </c>
      <c r="F36" s="17">
        <f>SUM(F33:F35)</f>
        <v>545263</v>
      </c>
      <c r="G36" s="138">
        <f t="shared" ref="G36:Y36" si="11">+G33+G34+G35</f>
        <v>633414</v>
      </c>
      <c r="H36" s="138">
        <f t="shared" si="11"/>
        <v>1278973</v>
      </c>
      <c r="I36" s="138">
        <f t="shared" si="11"/>
        <v>1154207</v>
      </c>
      <c r="J36" s="138">
        <f t="shared" si="11"/>
        <v>3222406</v>
      </c>
      <c r="K36" s="138">
        <f t="shared" si="11"/>
        <v>1428753</v>
      </c>
      <c r="L36" s="138">
        <f t="shared" si="11"/>
        <v>1617656</v>
      </c>
      <c r="M36" s="138">
        <f t="shared" si="11"/>
        <v>1897945</v>
      </c>
      <c r="N36" s="138">
        <f t="shared" si="11"/>
        <v>1611484</v>
      </c>
      <c r="O36" s="138">
        <f t="shared" si="11"/>
        <v>2213474</v>
      </c>
      <c r="P36" s="138">
        <f t="shared" si="11"/>
        <v>2281652</v>
      </c>
      <c r="Q36" s="138">
        <f t="shared" si="11"/>
        <v>1730416</v>
      </c>
      <c r="R36" s="138">
        <f t="shared" si="11"/>
        <v>10062362.109999999</v>
      </c>
      <c r="S36" s="138">
        <f t="shared" si="11"/>
        <v>2411443</v>
      </c>
      <c r="T36" s="138">
        <f t="shared" si="11"/>
        <v>2505569</v>
      </c>
      <c r="U36" s="138">
        <f t="shared" si="11"/>
        <v>2959289</v>
      </c>
      <c r="V36" s="138">
        <f t="shared" si="11"/>
        <v>2977461</v>
      </c>
      <c r="W36" s="138">
        <f t="shared" si="11"/>
        <v>6124140</v>
      </c>
      <c r="X36" s="138">
        <f t="shared" si="11"/>
        <v>5657532</v>
      </c>
      <c r="Y36" s="138">
        <f t="shared" si="11"/>
        <v>5519861</v>
      </c>
      <c r="Z36" s="458">
        <f t="shared" si="10"/>
        <v>8.8801032511361733E-2</v>
      </c>
      <c r="AA36"/>
      <c r="AB36"/>
      <c r="AC36"/>
      <c r="AD36"/>
    </row>
    <row r="37" spans="2:30" ht="15" customHeight="1" x14ac:dyDescent="0.25">
      <c r="B37" s="577"/>
      <c r="C37" s="22"/>
      <c r="D37" s="11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81"/>
      <c r="AA37"/>
      <c r="AB37"/>
      <c r="AC37"/>
      <c r="AD37"/>
    </row>
    <row r="38" spans="2:30" ht="15" customHeight="1" x14ac:dyDescent="0.25">
      <c r="B38" s="577" t="s">
        <v>89</v>
      </c>
      <c r="C38" s="22">
        <v>365394</v>
      </c>
      <c r="D38" s="11">
        <v>112825</v>
      </c>
      <c r="E38" s="137">
        <v>207436</v>
      </c>
      <c r="F38" s="137">
        <v>193012</v>
      </c>
      <c r="G38" s="137">
        <v>220333</v>
      </c>
      <c r="H38" s="137">
        <v>596446</v>
      </c>
      <c r="I38" s="137">
        <v>987837</v>
      </c>
      <c r="J38" s="137">
        <v>746951</v>
      </c>
      <c r="K38" s="137">
        <v>451815</v>
      </c>
      <c r="L38" s="137">
        <v>486338</v>
      </c>
      <c r="M38" s="137">
        <f>714682+972</f>
        <v>715654</v>
      </c>
      <c r="N38" s="137">
        <v>745122.61</v>
      </c>
      <c r="O38" s="137">
        <v>736596</v>
      </c>
      <c r="P38" s="137">
        <v>688917</v>
      </c>
      <c r="Q38" s="137">
        <v>872905</v>
      </c>
      <c r="R38" s="137">
        <v>3216671</v>
      </c>
      <c r="S38" s="137">
        <v>809125</v>
      </c>
      <c r="T38" s="137">
        <v>939912</v>
      </c>
      <c r="U38" s="137">
        <v>970771</v>
      </c>
      <c r="V38" s="137">
        <v>1057098</v>
      </c>
      <c r="W38" s="137">
        <v>2047071</v>
      </c>
      <c r="X38" s="137">
        <v>1384086</v>
      </c>
      <c r="Y38" s="137">
        <v>2005204</v>
      </c>
      <c r="Z38" s="457">
        <f>RATE(-22,,-Y38,C38)</f>
        <v>8.0460666760086993E-2</v>
      </c>
      <c r="AA38"/>
      <c r="AB38"/>
      <c r="AC38"/>
      <c r="AD38"/>
    </row>
    <row r="39" spans="2:30" ht="15" customHeight="1" x14ac:dyDescent="0.25">
      <c r="B39" s="577" t="s">
        <v>90</v>
      </c>
      <c r="C39" s="22">
        <v>140552</v>
      </c>
      <c r="D39" s="11">
        <v>189822</v>
      </c>
      <c r="E39" s="137">
        <v>232995</v>
      </c>
      <c r="F39" s="137">
        <v>213541</v>
      </c>
      <c r="G39" s="137">
        <v>225191</v>
      </c>
      <c r="H39" s="137">
        <v>406125</v>
      </c>
      <c r="I39" s="137">
        <v>1252285</v>
      </c>
      <c r="J39" s="137">
        <v>520491</v>
      </c>
      <c r="K39" s="137">
        <v>465094</v>
      </c>
      <c r="L39" s="137">
        <v>662110</v>
      </c>
      <c r="M39" s="137">
        <v>678593</v>
      </c>
      <c r="N39" s="137">
        <v>784901</v>
      </c>
      <c r="O39" s="137">
        <v>780579</v>
      </c>
      <c r="P39" s="137">
        <v>789846</v>
      </c>
      <c r="Q39" s="137">
        <v>918962</v>
      </c>
      <c r="R39" s="137">
        <v>2340914</v>
      </c>
      <c r="S39" s="137">
        <v>874996</v>
      </c>
      <c r="T39" s="137">
        <v>939802</v>
      </c>
      <c r="U39" s="137">
        <v>1033692</v>
      </c>
      <c r="V39" s="137">
        <v>1064662</v>
      </c>
      <c r="W39" s="137">
        <v>2060250</v>
      </c>
      <c r="X39" s="137">
        <v>1484809</v>
      </c>
      <c r="Y39" s="137">
        <v>1857580</v>
      </c>
      <c r="Z39" s="457">
        <f t="shared" ref="Z39:Z41" si="12">RATE(-22,,-Y39,C39)</f>
        <v>0.1245002803104469</v>
      </c>
      <c r="AA39"/>
      <c r="AB39"/>
      <c r="AC39"/>
      <c r="AD39"/>
    </row>
    <row r="40" spans="2:30" ht="15" customHeight="1" x14ac:dyDescent="0.25">
      <c r="B40" s="577" t="s">
        <v>91</v>
      </c>
      <c r="C40" s="22">
        <v>314439</v>
      </c>
      <c r="D40" s="11">
        <v>184870</v>
      </c>
      <c r="E40" s="137">
        <v>216742</v>
      </c>
      <c r="F40" s="137">
        <v>221553</v>
      </c>
      <c r="G40" s="137">
        <v>215005</v>
      </c>
      <c r="H40" s="137">
        <v>338327</v>
      </c>
      <c r="I40" s="137">
        <v>870967</v>
      </c>
      <c r="J40" s="137">
        <v>448353</v>
      </c>
      <c r="K40" s="137">
        <v>516470</v>
      </c>
      <c r="L40" s="137">
        <v>532391</v>
      </c>
      <c r="M40" s="137">
        <v>707402</v>
      </c>
      <c r="N40" s="137">
        <v>755197</v>
      </c>
      <c r="O40" s="137">
        <v>810859</v>
      </c>
      <c r="P40" s="137">
        <v>742812</v>
      </c>
      <c r="Q40" s="137">
        <v>830332</v>
      </c>
      <c r="R40" s="137">
        <v>1124330</v>
      </c>
      <c r="S40" s="137">
        <v>834349.59</v>
      </c>
      <c r="T40" s="137">
        <v>947635</v>
      </c>
      <c r="U40" s="137">
        <v>998231</v>
      </c>
      <c r="V40" s="137">
        <v>1022226</v>
      </c>
      <c r="W40" s="137">
        <v>1990388</v>
      </c>
      <c r="X40" s="137">
        <v>1725840</v>
      </c>
      <c r="Y40" s="137">
        <v>1804820</v>
      </c>
      <c r="Z40" s="457">
        <f t="shared" si="12"/>
        <v>8.2668098949493438E-2</v>
      </c>
      <c r="AA40"/>
      <c r="AB40"/>
      <c r="AC40"/>
      <c r="AD40"/>
    </row>
    <row r="41" spans="2:30" ht="15" customHeight="1" x14ac:dyDescent="0.25">
      <c r="B41" s="570" t="s">
        <v>116</v>
      </c>
      <c r="C41" s="21">
        <f>SUM(C38:C40)</f>
        <v>820385</v>
      </c>
      <c r="D41" s="17">
        <f>SUM(D38:D40)</f>
        <v>487517</v>
      </c>
      <c r="E41" s="17">
        <f>SUM(E38:E40)</f>
        <v>657173</v>
      </c>
      <c r="F41" s="17">
        <f>SUM(F38:F40)</f>
        <v>628106</v>
      </c>
      <c r="G41" s="138">
        <f t="shared" ref="G41:Y41" si="13">+G38+G39+G40</f>
        <v>660529</v>
      </c>
      <c r="H41" s="138">
        <f t="shared" si="13"/>
        <v>1340898</v>
      </c>
      <c r="I41" s="138">
        <f t="shared" si="13"/>
        <v>3111089</v>
      </c>
      <c r="J41" s="138">
        <f t="shared" si="13"/>
        <v>1715795</v>
      </c>
      <c r="K41" s="138">
        <f t="shared" si="13"/>
        <v>1433379</v>
      </c>
      <c r="L41" s="138">
        <f t="shared" si="13"/>
        <v>1680839</v>
      </c>
      <c r="M41" s="138">
        <f t="shared" si="13"/>
        <v>2101649</v>
      </c>
      <c r="N41" s="138">
        <f t="shared" si="13"/>
        <v>2285220.61</v>
      </c>
      <c r="O41" s="138">
        <f t="shared" si="13"/>
        <v>2328034</v>
      </c>
      <c r="P41" s="138">
        <f t="shared" si="13"/>
        <v>2221575</v>
      </c>
      <c r="Q41" s="138">
        <f t="shared" si="13"/>
        <v>2622199</v>
      </c>
      <c r="R41" s="138">
        <f t="shared" si="13"/>
        <v>6681915</v>
      </c>
      <c r="S41" s="138">
        <f t="shared" si="13"/>
        <v>2518470.59</v>
      </c>
      <c r="T41" s="138">
        <f t="shared" si="13"/>
        <v>2827349</v>
      </c>
      <c r="U41" s="138">
        <f t="shared" si="13"/>
        <v>3002694</v>
      </c>
      <c r="V41" s="138">
        <f t="shared" si="13"/>
        <v>3143986</v>
      </c>
      <c r="W41" s="138">
        <f t="shared" si="13"/>
        <v>6097709</v>
      </c>
      <c r="X41" s="138">
        <f t="shared" si="13"/>
        <v>4594735</v>
      </c>
      <c r="Y41" s="138">
        <f t="shared" si="13"/>
        <v>5667604</v>
      </c>
      <c r="Z41" s="458">
        <f t="shared" si="12"/>
        <v>9.1826717772021144E-2</v>
      </c>
      <c r="AA41"/>
      <c r="AB41"/>
      <c r="AC41"/>
      <c r="AD41"/>
    </row>
    <row r="42" spans="2:30" ht="15" customHeight="1" x14ac:dyDescent="0.25">
      <c r="B42" s="577"/>
      <c r="C42" s="22"/>
      <c r="D42" s="11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81"/>
      <c r="AA42"/>
      <c r="AB42"/>
      <c r="AC42"/>
      <c r="AD42"/>
    </row>
    <row r="43" spans="2:30" ht="15" customHeight="1" x14ac:dyDescent="0.25">
      <c r="B43" s="577" t="s">
        <v>93</v>
      </c>
      <c r="C43" s="22">
        <v>227701</v>
      </c>
      <c r="D43" s="11">
        <v>190401</v>
      </c>
      <c r="E43" s="137">
        <v>224210</v>
      </c>
      <c r="F43" s="137">
        <v>229248</v>
      </c>
      <c r="G43" s="137">
        <v>264795</v>
      </c>
      <c r="H43" s="137">
        <v>404562</v>
      </c>
      <c r="I43" s="137">
        <v>1202581</v>
      </c>
      <c r="J43" s="137">
        <v>465790</v>
      </c>
      <c r="K43" s="137">
        <v>575835</v>
      </c>
      <c r="L43" s="137">
        <v>600009</v>
      </c>
      <c r="M43" s="137">
        <v>671834</v>
      </c>
      <c r="N43" s="137">
        <v>849740</v>
      </c>
      <c r="O43" s="137">
        <v>773806</v>
      </c>
      <c r="P43" s="137">
        <v>786164</v>
      </c>
      <c r="Q43" s="137">
        <v>1077999</v>
      </c>
      <c r="R43" s="137">
        <v>928734</v>
      </c>
      <c r="S43" s="137">
        <v>873605.09</v>
      </c>
      <c r="T43" s="137">
        <v>944284</v>
      </c>
      <c r="U43" s="137">
        <v>1034953</v>
      </c>
      <c r="V43" s="137">
        <v>1057323</v>
      </c>
      <c r="W43" s="137">
        <v>2105312</v>
      </c>
      <c r="X43" s="137">
        <v>1733546</v>
      </c>
      <c r="Y43" s="137">
        <v>1831135</v>
      </c>
      <c r="Z43" s="457">
        <f>RATE(-22,,-Y43,C43)</f>
        <v>9.9391865748282959E-2</v>
      </c>
      <c r="AA43"/>
      <c r="AB43"/>
      <c r="AC43"/>
      <c r="AD43"/>
    </row>
    <row r="44" spans="2:30" ht="15" customHeight="1" x14ac:dyDescent="0.25">
      <c r="B44" s="577" t="s">
        <v>94</v>
      </c>
      <c r="C44" s="22">
        <v>232801</v>
      </c>
      <c r="D44" s="11">
        <v>247387</v>
      </c>
      <c r="E44" s="137">
        <v>216335</v>
      </c>
      <c r="F44" s="137">
        <v>222509</v>
      </c>
      <c r="G44" s="137">
        <v>230337</v>
      </c>
      <c r="H44" s="137">
        <v>375404</v>
      </c>
      <c r="I44" s="137">
        <v>1081794</v>
      </c>
      <c r="J44" s="137">
        <v>504777</v>
      </c>
      <c r="K44" s="137">
        <v>559887</v>
      </c>
      <c r="L44" s="137">
        <v>440197</v>
      </c>
      <c r="M44" s="137">
        <v>702880</v>
      </c>
      <c r="N44" s="137">
        <v>773403</v>
      </c>
      <c r="O44" s="137">
        <v>819770</v>
      </c>
      <c r="P44" s="137">
        <v>222150</v>
      </c>
      <c r="Q44" s="137">
        <v>880250</v>
      </c>
      <c r="R44" s="137">
        <v>873289</v>
      </c>
      <c r="S44" s="137">
        <v>859722</v>
      </c>
      <c r="T44" s="137">
        <v>995483</v>
      </c>
      <c r="U44" s="137">
        <v>1075372</v>
      </c>
      <c r="V44" s="137">
        <v>1496426</v>
      </c>
      <c r="W44" s="137">
        <v>2085857</v>
      </c>
      <c r="X44" s="137">
        <v>1739671</v>
      </c>
      <c r="Y44" s="137">
        <v>1912288</v>
      </c>
      <c r="Z44" s="457">
        <f t="shared" ref="Z44:Z46" si="14">RATE(-22,,-Y44,C44)</f>
        <v>0.10045248017772379</v>
      </c>
      <c r="AA44"/>
      <c r="AB44"/>
      <c r="AC44"/>
      <c r="AD44"/>
    </row>
    <row r="45" spans="2:30" ht="15" customHeight="1" x14ac:dyDescent="0.25">
      <c r="B45" s="577" t="s">
        <v>101</v>
      </c>
      <c r="C45" s="22">
        <v>338919</v>
      </c>
      <c r="D45" s="11">
        <v>195342</v>
      </c>
      <c r="E45" s="137">
        <v>179789</v>
      </c>
      <c r="F45" s="137">
        <v>203780</v>
      </c>
      <c r="G45" s="137">
        <v>246402</v>
      </c>
      <c r="H45" s="137">
        <v>420834</v>
      </c>
      <c r="I45" s="137">
        <v>1054097</v>
      </c>
      <c r="J45" s="137">
        <v>424585</v>
      </c>
      <c r="K45" s="137">
        <v>494623</v>
      </c>
      <c r="L45" s="137">
        <v>865584</v>
      </c>
      <c r="M45" s="137">
        <v>683877</v>
      </c>
      <c r="N45" s="137">
        <v>791951</v>
      </c>
      <c r="O45" s="137">
        <v>844065</v>
      </c>
      <c r="P45" s="137">
        <v>756801</v>
      </c>
      <c r="Q45" s="137">
        <v>880151</v>
      </c>
      <c r="R45" s="137">
        <v>877592</v>
      </c>
      <c r="S45" s="137">
        <v>877997.9</v>
      </c>
      <c r="T45" s="137">
        <v>976597</v>
      </c>
      <c r="U45" s="137">
        <v>1028306</v>
      </c>
      <c r="V45" s="137">
        <v>1736252</v>
      </c>
      <c r="W45" s="137">
        <v>1998337</v>
      </c>
      <c r="X45" s="137">
        <v>1918556</v>
      </c>
      <c r="Y45" s="137">
        <v>1848233</v>
      </c>
      <c r="Z45" s="457">
        <f t="shared" si="14"/>
        <v>8.0151273465650902E-2</v>
      </c>
      <c r="AA45"/>
      <c r="AB45"/>
      <c r="AC45"/>
      <c r="AD45"/>
    </row>
    <row r="46" spans="2:30" ht="15" customHeight="1" x14ac:dyDescent="0.25">
      <c r="B46" s="570" t="s">
        <v>117</v>
      </c>
      <c r="C46" s="21">
        <f>SUM(C43:C45)</f>
        <v>799421</v>
      </c>
      <c r="D46" s="17">
        <f>SUM(D43:D45)</f>
        <v>633130</v>
      </c>
      <c r="E46" s="17">
        <f>SUM(E43:E45)</f>
        <v>620334</v>
      </c>
      <c r="F46" s="17">
        <f>SUM(F43:F45)</f>
        <v>655537</v>
      </c>
      <c r="G46" s="138">
        <f t="shared" ref="G46:Y46" si="15">+G43+G44+G45</f>
        <v>741534</v>
      </c>
      <c r="H46" s="138">
        <f t="shared" si="15"/>
        <v>1200800</v>
      </c>
      <c r="I46" s="138">
        <f t="shared" si="15"/>
        <v>3338472</v>
      </c>
      <c r="J46" s="138">
        <f t="shared" si="15"/>
        <v>1395152</v>
      </c>
      <c r="K46" s="138">
        <f t="shared" si="15"/>
        <v>1630345</v>
      </c>
      <c r="L46" s="138">
        <f t="shared" si="15"/>
        <v>1905790</v>
      </c>
      <c r="M46" s="138">
        <f t="shared" si="15"/>
        <v>2058591</v>
      </c>
      <c r="N46" s="138">
        <f t="shared" si="15"/>
        <v>2415094</v>
      </c>
      <c r="O46" s="138">
        <f t="shared" si="15"/>
        <v>2437641</v>
      </c>
      <c r="P46" s="138">
        <f t="shared" si="15"/>
        <v>1765115</v>
      </c>
      <c r="Q46" s="138">
        <f t="shared" si="15"/>
        <v>2838400</v>
      </c>
      <c r="R46" s="138">
        <f t="shared" si="15"/>
        <v>2679615</v>
      </c>
      <c r="S46" s="138">
        <f t="shared" si="15"/>
        <v>2611324.9899999998</v>
      </c>
      <c r="T46" s="138">
        <f t="shared" si="15"/>
        <v>2916364</v>
      </c>
      <c r="U46" s="138">
        <f t="shared" si="15"/>
        <v>3138631</v>
      </c>
      <c r="V46" s="138">
        <f t="shared" si="15"/>
        <v>4290001</v>
      </c>
      <c r="W46" s="138">
        <f t="shared" si="15"/>
        <v>6189506</v>
      </c>
      <c r="X46" s="138">
        <f t="shared" si="15"/>
        <v>5391773</v>
      </c>
      <c r="Y46" s="138">
        <f t="shared" si="15"/>
        <v>5591656</v>
      </c>
      <c r="Z46" s="458">
        <f t="shared" si="14"/>
        <v>9.2442039159006062E-2</v>
      </c>
      <c r="AA46"/>
      <c r="AB46"/>
      <c r="AC46"/>
      <c r="AD46"/>
    </row>
    <row r="47" spans="2:30" ht="15" customHeight="1" x14ac:dyDescent="0.25">
      <c r="B47" s="577"/>
      <c r="C47" s="22"/>
      <c r="D47" s="11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81"/>
      <c r="AA47"/>
      <c r="AB47"/>
      <c r="AC47"/>
      <c r="AD47"/>
    </row>
    <row r="48" spans="2:30" ht="15" customHeight="1" x14ac:dyDescent="0.25">
      <c r="B48" s="577" t="s">
        <v>95</v>
      </c>
      <c r="C48" s="22">
        <v>218491</v>
      </c>
      <c r="D48" s="11">
        <v>271704</v>
      </c>
      <c r="E48" s="137">
        <v>208256</v>
      </c>
      <c r="F48" s="137">
        <v>209054</v>
      </c>
      <c r="G48" s="137">
        <v>254331</v>
      </c>
      <c r="H48" s="137">
        <v>362616</v>
      </c>
      <c r="I48" s="137">
        <v>984782</v>
      </c>
      <c r="J48" s="137">
        <v>497954</v>
      </c>
      <c r="K48" s="137">
        <v>553577</v>
      </c>
      <c r="L48" s="137">
        <v>686567</v>
      </c>
      <c r="M48" s="137">
        <f>461926+10300</f>
        <v>472226</v>
      </c>
      <c r="N48" s="137">
        <v>826081</v>
      </c>
      <c r="O48" s="137">
        <v>897280</v>
      </c>
      <c r="P48" s="137">
        <v>875992</v>
      </c>
      <c r="Q48" s="137">
        <v>1061696</v>
      </c>
      <c r="R48" s="137">
        <v>898031</v>
      </c>
      <c r="S48" s="137">
        <v>936201.18</v>
      </c>
      <c r="T48" s="137">
        <v>1040567</v>
      </c>
      <c r="U48" s="137">
        <v>1064910</v>
      </c>
      <c r="V48" s="137">
        <v>2179746</v>
      </c>
      <c r="W48" s="137">
        <v>2205072</v>
      </c>
      <c r="X48" s="137">
        <v>1984025</v>
      </c>
      <c r="Y48" s="137">
        <v>1783407</v>
      </c>
      <c r="Z48" s="457">
        <f>RATE(-22,,-Y48,C48)</f>
        <v>0.10013561232516704</v>
      </c>
      <c r="AA48"/>
      <c r="AB48"/>
      <c r="AC48"/>
      <c r="AD48"/>
    </row>
    <row r="49" spans="2:34" ht="15" customHeight="1" x14ac:dyDescent="0.25">
      <c r="B49" s="577" t="s">
        <v>96</v>
      </c>
      <c r="C49" s="22">
        <v>236244</v>
      </c>
      <c r="D49" s="11">
        <v>218949</v>
      </c>
      <c r="E49" s="137">
        <v>220409</v>
      </c>
      <c r="F49" s="137">
        <v>226214</v>
      </c>
      <c r="G49" s="137">
        <v>207137</v>
      </c>
      <c r="H49" s="137">
        <v>458986</v>
      </c>
      <c r="I49" s="137">
        <v>1149497</v>
      </c>
      <c r="J49" s="137">
        <v>328967</v>
      </c>
      <c r="K49" s="137">
        <v>642887</v>
      </c>
      <c r="L49" s="137">
        <v>653605</v>
      </c>
      <c r="M49" s="137">
        <v>1008408</v>
      </c>
      <c r="N49" s="137">
        <v>696997</v>
      </c>
      <c r="O49" s="137">
        <v>697852</v>
      </c>
      <c r="P49" s="137">
        <v>843724</v>
      </c>
      <c r="Q49" s="137">
        <v>1219077</v>
      </c>
      <c r="R49" s="137">
        <v>753312</v>
      </c>
      <c r="S49" s="137">
        <v>808476.21</v>
      </c>
      <c r="T49" s="137">
        <v>898899</v>
      </c>
      <c r="U49" s="137">
        <v>923516</v>
      </c>
      <c r="V49" s="137">
        <v>1991824</v>
      </c>
      <c r="W49" s="137">
        <v>1972197</v>
      </c>
      <c r="X49" s="137">
        <v>1788579</v>
      </c>
      <c r="Y49" s="137">
        <v>1703335</v>
      </c>
      <c r="Z49" s="457">
        <f t="shared" ref="Z49:Z51" si="16">RATE(-22,,-Y49,C49)</f>
        <v>9.3949414399774667E-2</v>
      </c>
      <c r="AA49"/>
      <c r="AB49"/>
      <c r="AC49"/>
      <c r="AD49"/>
    </row>
    <row r="50" spans="2:34" ht="15" customHeight="1" x14ac:dyDescent="0.25">
      <c r="B50" s="577" t="s">
        <v>97</v>
      </c>
      <c r="C50" s="22">
        <v>315546</v>
      </c>
      <c r="D50" s="11">
        <v>239647</v>
      </c>
      <c r="E50" s="137">
        <v>189468</v>
      </c>
      <c r="F50" s="137">
        <v>235588</v>
      </c>
      <c r="G50" s="137">
        <v>254521</v>
      </c>
      <c r="H50" s="137">
        <v>447554</v>
      </c>
      <c r="I50" s="137">
        <v>1328985</v>
      </c>
      <c r="J50" s="137">
        <v>492086</v>
      </c>
      <c r="K50" s="137">
        <v>501798</v>
      </c>
      <c r="L50" s="137">
        <v>674729</v>
      </c>
      <c r="M50" s="137">
        <v>1466596</v>
      </c>
      <c r="N50" s="137">
        <v>784264</v>
      </c>
      <c r="O50" s="137">
        <v>767374</v>
      </c>
      <c r="P50" s="137">
        <v>805301</v>
      </c>
      <c r="Q50" s="137">
        <v>2381040.31</v>
      </c>
      <c r="R50" s="137">
        <v>819279</v>
      </c>
      <c r="S50" s="137">
        <v>878801</v>
      </c>
      <c r="T50" s="137">
        <v>905035</v>
      </c>
      <c r="U50" s="137">
        <v>987897</v>
      </c>
      <c r="V50" s="137">
        <v>1941787</v>
      </c>
      <c r="W50" s="137">
        <v>2019961</v>
      </c>
      <c r="X50" s="137">
        <v>1948868</v>
      </c>
      <c r="Y50" s="137">
        <v>1842711</v>
      </c>
      <c r="Z50" s="457">
        <f t="shared" si="16"/>
        <v>8.3517963607689788E-2</v>
      </c>
      <c r="AA50"/>
      <c r="AB50"/>
      <c r="AC50"/>
      <c r="AD50"/>
    </row>
    <row r="51" spans="2:34" ht="15" customHeight="1" x14ac:dyDescent="0.25">
      <c r="B51" s="570" t="s">
        <v>118</v>
      </c>
      <c r="C51" s="21">
        <f>SUM(C48:C50)</f>
        <v>770281</v>
      </c>
      <c r="D51" s="17">
        <f>SUM(D48:D50)</f>
        <v>730300</v>
      </c>
      <c r="E51" s="17">
        <f>SUM(E48:E50)</f>
        <v>618133</v>
      </c>
      <c r="F51" s="17">
        <f>SUM(F48:F50)</f>
        <v>670856</v>
      </c>
      <c r="G51" s="138">
        <f t="shared" ref="G51:Y51" si="17">+G48+G49+G50</f>
        <v>715989</v>
      </c>
      <c r="H51" s="138">
        <f t="shared" si="17"/>
        <v>1269156</v>
      </c>
      <c r="I51" s="138">
        <f t="shared" si="17"/>
        <v>3463264</v>
      </c>
      <c r="J51" s="138">
        <f t="shared" si="17"/>
        <v>1319007</v>
      </c>
      <c r="K51" s="138">
        <f t="shared" si="17"/>
        <v>1698262</v>
      </c>
      <c r="L51" s="138">
        <f t="shared" si="17"/>
        <v>2014901</v>
      </c>
      <c r="M51" s="138">
        <f t="shared" si="17"/>
        <v>2947230</v>
      </c>
      <c r="N51" s="138">
        <f t="shared" si="17"/>
        <v>2307342</v>
      </c>
      <c r="O51" s="138">
        <f t="shared" si="17"/>
        <v>2362506</v>
      </c>
      <c r="P51" s="138">
        <f t="shared" si="17"/>
        <v>2525017</v>
      </c>
      <c r="Q51" s="138">
        <f t="shared" si="17"/>
        <v>4661813.3100000005</v>
      </c>
      <c r="R51" s="138">
        <f t="shared" si="17"/>
        <v>2470622</v>
      </c>
      <c r="S51" s="138">
        <f t="shared" si="17"/>
        <v>2623478.39</v>
      </c>
      <c r="T51" s="138">
        <f t="shared" si="17"/>
        <v>2844501</v>
      </c>
      <c r="U51" s="138">
        <f t="shared" si="17"/>
        <v>2976323</v>
      </c>
      <c r="V51" s="138">
        <f t="shared" si="17"/>
        <v>6113357</v>
      </c>
      <c r="W51" s="138">
        <f t="shared" si="17"/>
        <v>6197230</v>
      </c>
      <c r="X51" s="138">
        <f t="shared" si="17"/>
        <v>5721472</v>
      </c>
      <c r="Y51" s="138">
        <f t="shared" si="17"/>
        <v>5329453</v>
      </c>
      <c r="Z51" s="458">
        <f t="shared" si="16"/>
        <v>9.1901188438418199E-2</v>
      </c>
      <c r="AA51"/>
      <c r="AB51"/>
      <c r="AC51"/>
      <c r="AD51"/>
    </row>
    <row r="52" spans="2:34" ht="15" customHeight="1" thickBot="1" x14ac:dyDescent="0.3">
      <c r="B52" s="585"/>
      <c r="C52" s="74"/>
      <c r="D52" s="75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658"/>
      <c r="AA52"/>
      <c r="AB52"/>
      <c r="AC52"/>
      <c r="AD52"/>
    </row>
    <row r="53" spans="2:34" ht="15" customHeight="1" thickBot="1" x14ac:dyDescent="0.3">
      <c r="B53" s="557" t="s">
        <v>119</v>
      </c>
      <c r="C53" s="84">
        <f t="shared" ref="C53:M53" si="18">+C36+C41+C46+C51</f>
        <v>3239386</v>
      </c>
      <c r="D53" s="77">
        <f t="shared" si="18"/>
        <v>2262297</v>
      </c>
      <c r="E53" s="77">
        <f t="shared" si="18"/>
        <v>2551716</v>
      </c>
      <c r="F53" s="77">
        <f t="shared" si="18"/>
        <v>2499762</v>
      </c>
      <c r="G53" s="144">
        <f t="shared" si="18"/>
        <v>2751466</v>
      </c>
      <c r="H53" s="144">
        <f t="shared" si="18"/>
        <v>5089827</v>
      </c>
      <c r="I53" s="144">
        <f t="shared" si="18"/>
        <v>11067032</v>
      </c>
      <c r="J53" s="144">
        <f t="shared" si="18"/>
        <v>7652360</v>
      </c>
      <c r="K53" s="144">
        <f t="shared" si="18"/>
        <v>6190739</v>
      </c>
      <c r="L53" s="144">
        <f t="shared" si="18"/>
        <v>7219186</v>
      </c>
      <c r="M53" s="144">
        <f t="shared" si="18"/>
        <v>9005415</v>
      </c>
      <c r="N53" s="144">
        <f t="shared" ref="N53:Y53" si="19">+N36+N41+N46+N51</f>
        <v>8619140.6099999994</v>
      </c>
      <c r="O53" s="144">
        <f t="shared" si="19"/>
        <v>9341655</v>
      </c>
      <c r="P53" s="144">
        <f t="shared" si="19"/>
        <v>8793359</v>
      </c>
      <c r="Q53" s="144">
        <f t="shared" si="19"/>
        <v>11852828.310000001</v>
      </c>
      <c r="R53" s="144">
        <f t="shared" si="19"/>
        <v>21894514.109999999</v>
      </c>
      <c r="S53" s="144">
        <f t="shared" si="19"/>
        <v>10164716.970000001</v>
      </c>
      <c r="T53" s="144">
        <f t="shared" si="19"/>
        <v>11093783</v>
      </c>
      <c r="U53" s="144">
        <f t="shared" si="19"/>
        <v>12076937</v>
      </c>
      <c r="V53" s="144">
        <f t="shared" si="19"/>
        <v>16524805</v>
      </c>
      <c r="W53" s="144">
        <f t="shared" si="19"/>
        <v>24608585</v>
      </c>
      <c r="X53" s="144">
        <f t="shared" si="19"/>
        <v>21365512</v>
      </c>
      <c r="Y53" s="144">
        <f t="shared" si="19"/>
        <v>22108574</v>
      </c>
      <c r="Z53" s="459">
        <f>RATE(-22,,-Y53,C53)</f>
        <v>9.122308969195872E-2</v>
      </c>
      <c r="AA53"/>
      <c r="AB53"/>
      <c r="AC53"/>
      <c r="AD53"/>
    </row>
    <row r="54" spans="2:34" ht="15" customHeight="1" thickBot="1" x14ac:dyDescent="0.3"/>
    <row r="55" spans="2:34" ht="15" customHeight="1" x14ac:dyDescent="0.25">
      <c r="B55" s="930" t="s">
        <v>100</v>
      </c>
      <c r="C55" s="916" t="s">
        <v>78</v>
      </c>
      <c r="D55" s="918"/>
      <c r="E55" s="918"/>
      <c r="F55" s="918"/>
      <c r="G55" s="918"/>
      <c r="H55" s="918"/>
      <c r="I55" s="918"/>
      <c r="J55" s="918"/>
      <c r="K55" s="918"/>
      <c r="L55" s="918"/>
      <c r="M55" s="918"/>
      <c r="N55" s="918"/>
      <c r="O55" s="918"/>
      <c r="P55" s="918"/>
      <c r="Q55" s="918"/>
      <c r="R55" s="918"/>
      <c r="S55" s="918"/>
      <c r="T55" s="918"/>
      <c r="U55" s="918"/>
      <c r="V55" s="918"/>
      <c r="W55" s="918"/>
      <c r="X55" s="918"/>
      <c r="Y55" s="918"/>
      <c r="Z55" s="917"/>
      <c r="AA55" s="927"/>
      <c r="AB55" s="927"/>
      <c r="AC55" s="927"/>
      <c r="AD55" s="927"/>
      <c r="AE55" s="927"/>
      <c r="AF55" s="927"/>
      <c r="AG55" s="927"/>
      <c r="AH55" s="927"/>
    </row>
    <row r="56" spans="2:34" ht="15" customHeight="1" thickBot="1" x14ac:dyDescent="0.3">
      <c r="B56" s="931"/>
      <c r="C56" s="586">
        <v>1999</v>
      </c>
      <c r="D56" s="587">
        <v>2000</v>
      </c>
      <c r="E56" s="586">
        <v>2001</v>
      </c>
      <c r="F56" s="588">
        <v>2002</v>
      </c>
      <c r="G56" s="589">
        <v>2003</v>
      </c>
      <c r="H56" s="589">
        <v>2004</v>
      </c>
      <c r="I56" s="589">
        <v>2005</v>
      </c>
      <c r="J56" s="589">
        <v>2006</v>
      </c>
      <c r="K56" s="589">
        <v>2007</v>
      </c>
      <c r="L56" s="589">
        <v>2008</v>
      </c>
      <c r="M56" s="589">
        <v>2009</v>
      </c>
      <c r="N56" s="589">
        <v>2010</v>
      </c>
      <c r="O56" s="589">
        <v>2011</v>
      </c>
      <c r="P56" s="589">
        <v>2012</v>
      </c>
      <c r="Q56" s="589">
        <v>2013</v>
      </c>
      <c r="R56" s="589">
        <v>2014</v>
      </c>
      <c r="S56" s="589">
        <v>2015</v>
      </c>
      <c r="T56" s="733">
        <v>2016</v>
      </c>
      <c r="U56" s="756">
        <v>2017</v>
      </c>
      <c r="V56" s="769">
        <v>2018</v>
      </c>
      <c r="W56" s="781">
        <v>2019</v>
      </c>
      <c r="X56" s="805">
        <v>2020</v>
      </c>
      <c r="Y56" s="825">
        <v>2021</v>
      </c>
      <c r="Z56" s="552" t="s">
        <v>102</v>
      </c>
      <c r="AA56" s="6"/>
      <c r="AB56" s="6"/>
      <c r="AC56" s="6"/>
      <c r="AD56" s="6"/>
      <c r="AE56" s="6"/>
      <c r="AF56" s="6"/>
      <c r="AG56" s="6"/>
      <c r="AH56" s="6"/>
    </row>
    <row r="57" spans="2:34" ht="15" customHeight="1" x14ac:dyDescent="0.25">
      <c r="B57" s="574"/>
      <c r="C57" s="28"/>
      <c r="D57" s="1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74"/>
      <c r="AA57" s="24"/>
      <c r="AB57" s="24"/>
      <c r="AC57" s="24"/>
      <c r="AD57" s="24"/>
      <c r="AE57" s="24"/>
      <c r="AF57" s="24"/>
      <c r="AG57" s="24"/>
      <c r="AH57" s="182"/>
    </row>
    <row r="58" spans="2:34" ht="15" customHeight="1" x14ac:dyDescent="0.25">
      <c r="B58" s="577" t="s">
        <v>86</v>
      </c>
      <c r="C58" s="30">
        <f t="shared" ref="C58:I60" si="20">+C8+C33</f>
        <v>520287</v>
      </c>
      <c r="D58" s="11">
        <f t="shared" si="20"/>
        <v>542317</v>
      </c>
      <c r="E58" s="11">
        <f t="shared" si="20"/>
        <v>500105</v>
      </c>
      <c r="F58" s="11">
        <f t="shared" si="20"/>
        <v>368333</v>
      </c>
      <c r="G58" s="11">
        <f t="shared" si="20"/>
        <v>408819</v>
      </c>
      <c r="H58" s="11">
        <f t="shared" si="20"/>
        <v>520993</v>
      </c>
      <c r="I58" s="11">
        <f t="shared" si="20"/>
        <v>590105</v>
      </c>
      <c r="J58" s="11">
        <f t="shared" ref="J58:K60" si="21">+J8+J33</f>
        <v>839051</v>
      </c>
      <c r="K58" s="11">
        <f t="shared" si="21"/>
        <v>517362</v>
      </c>
      <c r="L58" s="11">
        <f t="shared" ref="L58:M60" si="22">+L8+L33</f>
        <v>705240</v>
      </c>
      <c r="M58" s="11">
        <f t="shared" si="22"/>
        <v>543565</v>
      </c>
      <c r="N58" s="11">
        <f t="shared" ref="N58:O60" si="23">+N8+N33</f>
        <v>623744</v>
      </c>
      <c r="O58" s="11">
        <f t="shared" si="23"/>
        <v>1027008.4</v>
      </c>
      <c r="P58" s="11">
        <f t="shared" ref="P58:Q60" si="24">+P8+P33</f>
        <v>1061801</v>
      </c>
      <c r="Q58" s="11">
        <f t="shared" si="24"/>
        <v>987148</v>
      </c>
      <c r="R58" s="11">
        <f t="shared" ref="R58:S60" si="25">+R8+R33</f>
        <v>3864372</v>
      </c>
      <c r="S58" s="11">
        <f t="shared" si="25"/>
        <v>1161741</v>
      </c>
      <c r="T58" s="11">
        <f t="shared" ref="T58" si="26">+T8+T33</f>
        <v>1179905</v>
      </c>
      <c r="U58" s="11">
        <f t="shared" ref="U58:V58" si="27">+U8+U33</f>
        <v>1319659</v>
      </c>
      <c r="V58" s="11">
        <f t="shared" si="27"/>
        <v>1368304</v>
      </c>
      <c r="W58" s="11">
        <f t="shared" ref="W58:X58" si="28">+W8+W33</f>
        <v>2468165</v>
      </c>
      <c r="X58" s="11">
        <f t="shared" si="28"/>
        <v>2304302</v>
      </c>
      <c r="Y58" s="11">
        <f t="shared" ref="Y58" si="29">+Y8+Y33</f>
        <v>1884386</v>
      </c>
      <c r="Z58" s="457">
        <f>RATE(-22,,-Y58,C58)</f>
        <v>6.0243864485101349E-2</v>
      </c>
      <c r="AA58" s="24"/>
      <c r="AB58" s="24"/>
      <c r="AC58" s="24"/>
      <c r="AD58" s="24"/>
      <c r="AE58" s="24"/>
      <c r="AF58" s="24"/>
      <c r="AG58" s="24"/>
      <c r="AH58" s="182"/>
    </row>
    <row r="59" spans="2:34" ht="15" customHeight="1" x14ac:dyDescent="0.25">
      <c r="B59" s="577" t="s">
        <v>87</v>
      </c>
      <c r="C59" s="30">
        <f t="shared" si="20"/>
        <v>276428</v>
      </c>
      <c r="D59" s="11">
        <f t="shared" si="20"/>
        <v>140937</v>
      </c>
      <c r="E59" s="11">
        <f t="shared" si="20"/>
        <v>470076</v>
      </c>
      <c r="F59" s="11">
        <f t="shared" si="20"/>
        <v>324978</v>
      </c>
      <c r="G59" s="11">
        <f t="shared" si="20"/>
        <v>330940</v>
      </c>
      <c r="H59" s="11">
        <f t="shared" si="20"/>
        <v>539680</v>
      </c>
      <c r="I59" s="11">
        <f t="shared" si="20"/>
        <v>402535</v>
      </c>
      <c r="J59" s="11">
        <f t="shared" si="21"/>
        <v>1220020</v>
      </c>
      <c r="K59" s="11">
        <f t="shared" si="21"/>
        <v>504393</v>
      </c>
      <c r="L59" s="11">
        <f t="shared" si="22"/>
        <v>509585</v>
      </c>
      <c r="M59" s="11">
        <f t="shared" si="22"/>
        <v>627364</v>
      </c>
      <c r="N59" s="11">
        <f t="shared" si="23"/>
        <v>549813</v>
      </c>
      <c r="O59" s="11">
        <f t="shared" si="23"/>
        <v>860306.16</v>
      </c>
      <c r="P59" s="11">
        <f t="shared" si="24"/>
        <v>1070345</v>
      </c>
      <c r="Q59" s="11">
        <f t="shared" si="24"/>
        <v>1083645</v>
      </c>
      <c r="R59" s="11">
        <f t="shared" si="25"/>
        <v>3448305.32</v>
      </c>
      <c r="S59" s="11">
        <f t="shared" si="25"/>
        <v>1080671</v>
      </c>
      <c r="T59" s="11">
        <f t="shared" ref="T59" si="30">+T9+T34</f>
        <v>1141214</v>
      </c>
      <c r="U59" s="11">
        <f t="shared" ref="U59:V59" si="31">+U9+U34</f>
        <v>1303764</v>
      </c>
      <c r="V59" s="11">
        <f t="shared" si="31"/>
        <v>1211644</v>
      </c>
      <c r="W59" s="11">
        <f t="shared" ref="W59:X59" si="32">+W9+W34</f>
        <v>2411797</v>
      </c>
      <c r="X59" s="11">
        <f t="shared" si="32"/>
        <v>2192972</v>
      </c>
      <c r="Y59" s="11">
        <f t="shared" ref="Y59" si="33">+Y9+Y34</f>
        <v>2102132</v>
      </c>
      <c r="Z59" s="457">
        <f t="shared" ref="Z59:Z61" si="34">RATE(-22,,-Y59,C59)</f>
        <v>9.6601909573364161E-2</v>
      </c>
      <c r="AA59" s="24"/>
      <c r="AB59" s="24"/>
      <c r="AC59" s="24"/>
      <c r="AD59" s="24"/>
      <c r="AE59" s="24"/>
      <c r="AF59" s="24"/>
      <c r="AG59" s="24"/>
      <c r="AH59" s="182"/>
    </row>
    <row r="60" spans="2:34" ht="15" customHeight="1" x14ac:dyDescent="0.25">
      <c r="B60" s="577" t="s">
        <v>88</v>
      </c>
      <c r="C60" s="30">
        <f t="shared" si="20"/>
        <v>831368</v>
      </c>
      <c r="D60" s="11">
        <f t="shared" si="20"/>
        <v>111583</v>
      </c>
      <c r="E60" s="11">
        <f t="shared" si="20"/>
        <v>284544</v>
      </c>
      <c r="F60" s="11">
        <f t="shared" si="20"/>
        <v>209730</v>
      </c>
      <c r="G60" s="11">
        <f t="shared" si="20"/>
        <v>324522</v>
      </c>
      <c r="H60" s="11">
        <f t="shared" si="20"/>
        <v>660348</v>
      </c>
      <c r="I60" s="11">
        <f t="shared" si="20"/>
        <v>472527</v>
      </c>
      <c r="J60" s="11">
        <f t="shared" si="21"/>
        <v>1528620</v>
      </c>
      <c r="K60" s="11">
        <f t="shared" si="21"/>
        <v>825865</v>
      </c>
      <c r="L60" s="11">
        <f t="shared" si="22"/>
        <v>705985</v>
      </c>
      <c r="M60" s="11">
        <f t="shared" si="22"/>
        <v>1159501</v>
      </c>
      <c r="N60" s="11">
        <f t="shared" si="23"/>
        <v>1020601</v>
      </c>
      <c r="O60" s="11">
        <f t="shared" si="23"/>
        <v>984490.09</v>
      </c>
      <c r="P60" s="11">
        <f t="shared" si="24"/>
        <v>1120930</v>
      </c>
      <c r="Q60" s="11">
        <f t="shared" si="24"/>
        <v>248500</v>
      </c>
      <c r="R60" s="11">
        <f t="shared" si="25"/>
        <v>3857526</v>
      </c>
      <c r="S60" s="11">
        <f t="shared" si="25"/>
        <v>1265937</v>
      </c>
      <c r="T60" s="11">
        <f t="shared" ref="T60" si="35">+T10+T35</f>
        <v>1263821</v>
      </c>
      <c r="U60" s="11">
        <f t="shared" ref="U60:V60" si="36">+U10+U35</f>
        <v>1460162</v>
      </c>
      <c r="V60" s="11">
        <f t="shared" si="36"/>
        <v>1464095</v>
      </c>
      <c r="W60" s="11">
        <f t="shared" ref="W60:X60" si="37">+W10+W35</f>
        <v>2334690</v>
      </c>
      <c r="X60" s="11">
        <f t="shared" si="37"/>
        <v>2162934</v>
      </c>
      <c r="Y60" s="11">
        <f t="shared" ref="Y60" si="38">+Y10+Y35</f>
        <v>2509754</v>
      </c>
      <c r="Z60" s="457">
        <f t="shared" si="34"/>
        <v>5.1503715005692605E-2</v>
      </c>
      <c r="AA60" s="24"/>
      <c r="AB60" s="24"/>
      <c r="AC60" s="24"/>
      <c r="AD60" s="24"/>
      <c r="AE60" s="24"/>
      <c r="AF60" s="24"/>
      <c r="AG60" s="24"/>
      <c r="AH60" s="182"/>
    </row>
    <row r="61" spans="2:34" ht="15" customHeight="1" x14ac:dyDescent="0.25">
      <c r="B61" s="570" t="s">
        <v>115</v>
      </c>
      <c r="C61" s="29">
        <f>SUM(C58:C60)</f>
        <v>1628083</v>
      </c>
      <c r="D61" s="17">
        <f>SUM(D58:D60)</f>
        <v>794837</v>
      </c>
      <c r="E61" s="17">
        <f>SUM(E58:E60)</f>
        <v>1254725</v>
      </c>
      <c r="F61" s="17">
        <f>SUM(F58:F60)</f>
        <v>903041</v>
      </c>
      <c r="G61" s="138">
        <f t="shared" ref="G61:S61" si="39">+G58+G59+G60</f>
        <v>1064281</v>
      </c>
      <c r="H61" s="138">
        <f t="shared" si="39"/>
        <v>1721021</v>
      </c>
      <c r="I61" s="138">
        <f t="shared" si="39"/>
        <v>1465167</v>
      </c>
      <c r="J61" s="138">
        <f t="shared" si="39"/>
        <v>3587691</v>
      </c>
      <c r="K61" s="138">
        <f t="shared" si="39"/>
        <v>1847620</v>
      </c>
      <c r="L61" s="138">
        <f t="shared" si="39"/>
        <v>1920810</v>
      </c>
      <c r="M61" s="138">
        <f t="shared" si="39"/>
        <v>2330430</v>
      </c>
      <c r="N61" s="138">
        <f t="shared" si="39"/>
        <v>2194158</v>
      </c>
      <c r="O61" s="138">
        <f t="shared" si="39"/>
        <v>2871804.65</v>
      </c>
      <c r="P61" s="138">
        <f t="shared" si="39"/>
        <v>3253076</v>
      </c>
      <c r="Q61" s="138">
        <f t="shared" si="39"/>
        <v>2319293</v>
      </c>
      <c r="R61" s="138">
        <f t="shared" si="39"/>
        <v>11170203.32</v>
      </c>
      <c r="S61" s="138">
        <f t="shared" si="39"/>
        <v>3508349</v>
      </c>
      <c r="T61" s="138">
        <f t="shared" ref="T61" si="40">+T58+T59+T60</f>
        <v>3584940</v>
      </c>
      <c r="U61" s="138">
        <f t="shared" ref="U61:V61" si="41">+U58+U59+U60</f>
        <v>4083585</v>
      </c>
      <c r="V61" s="138">
        <f t="shared" si="41"/>
        <v>4044043</v>
      </c>
      <c r="W61" s="138">
        <f t="shared" ref="W61:X61" si="42">+W58+W59+W60</f>
        <v>7214652</v>
      </c>
      <c r="X61" s="138">
        <f t="shared" si="42"/>
        <v>6660208</v>
      </c>
      <c r="Y61" s="138">
        <f t="shared" ref="Y61" si="43">+Y58+Y59+Y60</f>
        <v>6496272</v>
      </c>
      <c r="Z61" s="458">
        <f t="shared" si="34"/>
        <v>6.4921562892415491E-2</v>
      </c>
      <c r="AA61" s="78"/>
      <c r="AB61" s="78"/>
      <c r="AC61" s="78"/>
      <c r="AD61" s="78"/>
      <c r="AE61" s="78"/>
      <c r="AF61" s="78"/>
      <c r="AG61" s="78"/>
      <c r="AH61" s="183"/>
    </row>
    <row r="62" spans="2:34" ht="15" customHeight="1" x14ac:dyDescent="0.25">
      <c r="B62" s="577"/>
      <c r="C62" s="30"/>
      <c r="D62" s="11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81"/>
      <c r="AA62" s="24"/>
      <c r="AB62" s="24"/>
      <c r="AC62" s="24"/>
      <c r="AD62" s="24"/>
      <c r="AE62" s="24"/>
      <c r="AF62" s="24"/>
      <c r="AG62" s="24"/>
      <c r="AH62" s="182"/>
    </row>
    <row r="63" spans="2:34" ht="15" customHeight="1" x14ac:dyDescent="0.25">
      <c r="B63" s="577" t="s">
        <v>89</v>
      </c>
      <c r="C63" s="30">
        <f t="shared" ref="C63:I65" si="44">+C13+C38</f>
        <v>646390</v>
      </c>
      <c r="D63" s="11">
        <f t="shared" si="44"/>
        <v>205437</v>
      </c>
      <c r="E63" s="11">
        <f t="shared" si="44"/>
        <v>371687</v>
      </c>
      <c r="F63" s="11">
        <f t="shared" si="44"/>
        <v>329317</v>
      </c>
      <c r="G63" s="11">
        <f t="shared" si="44"/>
        <v>386458</v>
      </c>
      <c r="H63" s="11">
        <f t="shared" si="44"/>
        <v>787412</v>
      </c>
      <c r="I63" s="11">
        <f t="shared" si="44"/>
        <v>1112413</v>
      </c>
      <c r="J63" s="11">
        <f t="shared" ref="J63:K65" si="45">+J13+J38</f>
        <v>844220</v>
      </c>
      <c r="K63" s="11">
        <f t="shared" si="45"/>
        <v>553301</v>
      </c>
      <c r="L63" s="11">
        <f t="shared" ref="L63:M65" si="46">+L13+L38</f>
        <v>605427</v>
      </c>
      <c r="M63" s="11">
        <f t="shared" si="46"/>
        <v>934961</v>
      </c>
      <c r="N63" s="11">
        <f t="shared" ref="N63:O65" si="47">+N13+N38</f>
        <v>981279.61</v>
      </c>
      <c r="O63" s="11">
        <f t="shared" si="47"/>
        <v>1030265.29</v>
      </c>
      <c r="P63" s="11">
        <f t="shared" ref="P63:Q65" si="48">+P13+P38</f>
        <v>1013926</v>
      </c>
      <c r="Q63" s="11">
        <f t="shared" si="48"/>
        <v>1230079</v>
      </c>
      <c r="R63" s="11">
        <f t="shared" ref="R63:S65" si="49">+R13+R38</f>
        <v>3630480</v>
      </c>
      <c r="S63" s="11">
        <f t="shared" si="49"/>
        <v>1203552</v>
      </c>
      <c r="T63" s="11">
        <f t="shared" ref="T63" si="50">+T13+T38</f>
        <v>1304655</v>
      </c>
      <c r="U63" s="11">
        <f t="shared" ref="U63:V63" si="51">+U13+U38</f>
        <v>1332405</v>
      </c>
      <c r="V63" s="11">
        <f t="shared" si="51"/>
        <v>1438824</v>
      </c>
      <c r="W63" s="11">
        <f t="shared" ref="W63:X63" si="52">+W13+W38</f>
        <v>2432129</v>
      </c>
      <c r="X63" s="11">
        <f t="shared" si="52"/>
        <v>1610923</v>
      </c>
      <c r="Y63" s="11">
        <f t="shared" ref="Y63" si="53">+Y13+Y38</f>
        <v>2339214</v>
      </c>
      <c r="Z63" s="457">
        <f>RATE(-22,,-Y63,C63)</f>
        <v>6.0204852215189661E-2</v>
      </c>
      <c r="AA63" s="24"/>
      <c r="AB63" s="24"/>
      <c r="AC63" s="24"/>
      <c r="AD63" s="24"/>
      <c r="AE63" s="24"/>
      <c r="AF63" s="24"/>
      <c r="AG63" s="24"/>
      <c r="AH63" s="182"/>
    </row>
    <row r="64" spans="2:34" ht="15" customHeight="1" x14ac:dyDescent="0.25">
      <c r="B64" s="577" t="s">
        <v>90</v>
      </c>
      <c r="C64" s="30">
        <f t="shared" si="44"/>
        <v>259223</v>
      </c>
      <c r="D64" s="11">
        <f t="shared" si="44"/>
        <v>367106</v>
      </c>
      <c r="E64" s="11">
        <f t="shared" si="44"/>
        <v>415585</v>
      </c>
      <c r="F64" s="11">
        <f t="shared" si="44"/>
        <v>398812</v>
      </c>
      <c r="G64" s="11">
        <f t="shared" si="44"/>
        <v>410130</v>
      </c>
      <c r="H64" s="11">
        <f t="shared" si="44"/>
        <v>566154</v>
      </c>
      <c r="I64" s="11">
        <f t="shared" si="44"/>
        <v>1372338</v>
      </c>
      <c r="J64" s="11">
        <f t="shared" si="45"/>
        <v>664057</v>
      </c>
      <c r="K64" s="11">
        <f t="shared" si="45"/>
        <v>583426</v>
      </c>
      <c r="L64" s="11">
        <f t="shared" si="46"/>
        <v>774071</v>
      </c>
      <c r="M64" s="11">
        <f t="shared" si="46"/>
        <v>886712</v>
      </c>
      <c r="N64" s="11">
        <f t="shared" si="47"/>
        <v>1034668</v>
      </c>
      <c r="O64" s="11">
        <f t="shared" si="47"/>
        <v>1102462.75</v>
      </c>
      <c r="P64" s="11">
        <f t="shared" si="48"/>
        <v>1181579</v>
      </c>
      <c r="Q64" s="11">
        <f t="shared" si="48"/>
        <v>1322748</v>
      </c>
      <c r="R64" s="11">
        <f t="shared" si="49"/>
        <v>2723740</v>
      </c>
      <c r="S64" s="11">
        <f t="shared" si="49"/>
        <v>1227743</v>
      </c>
      <c r="T64" s="11">
        <f t="shared" ref="T64" si="54">+T14+T39</f>
        <v>1313634</v>
      </c>
      <c r="U64" s="11">
        <f t="shared" ref="U64:V64" si="55">+U14+U39</f>
        <v>1428831</v>
      </c>
      <c r="V64" s="11">
        <f t="shared" si="55"/>
        <v>1456442</v>
      </c>
      <c r="W64" s="11">
        <f t="shared" ref="W64:X64" si="56">+W14+W39</f>
        <v>2453595</v>
      </c>
      <c r="X64" s="11">
        <f t="shared" si="56"/>
        <v>1754242</v>
      </c>
      <c r="Y64" s="11">
        <f t="shared" ref="Y64" si="57">+Y14+Y39</f>
        <v>2178424</v>
      </c>
      <c r="Z64" s="457">
        <f t="shared" ref="Z64:Z66" si="58">RATE(-22,,-Y64,C64)</f>
        <v>0.10159336828476777</v>
      </c>
      <c r="AA64" s="24"/>
      <c r="AB64" s="24"/>
      <c r="AC64" s="24"/>
      <c r="AD64" s="24"/>
      <c r="AE64" s="24"/>
      <c r="AF64" s="24"/>
      <c r="AG64" s="24"/>
      <c r="AH64" s="182"/>
    </row>
    <row r="65" spans="2:34" ht="15" customHeight="1" x14ac:dyDescent="0.25">
      <c r="B65" s="577" t="s">
        <v>91</v>
      </c>
      <c r="C65" s="30">
        <f t="shared" si="44"/>
        <v>627619</v>
      </c>
      <c r="D65" s="11">
        <f t="shared" si="44"/>
        <v>341082</v>
      </c>
      <c r="E65" s="11">
        <f t="shared" si="44"/>
        <v>407817</v>
      </c>
      <c r="F65" s="11">
        <f t="shared" si="44"/>
        <v>365840</v>
      </c>
      <c r="G65" s="11">
        <f t="shared" si="44"/>
        <v>360958</v>
      </c>
      <c r="H65" s="11">
        <f t="shared" si="44"/>
        <v>474444</v>
      </c>
      <c r="I65" s="11">
        <f t="shared" si="44"/>
        <v>971329</v>
      </c>
      <c r="J65" s="11">
        <f t="shared" si="45"/>
        <v>590289</v>
      </c>
      <c r="K65" s="11">
        <f t="shared" si="45"/>
        <v>638585</v>
      </c>
      <c r="L65" s="11">
        <f t="shared" si="46"/>
        <v>666436</v>
      </c>
      <c r="M65" s="11">
        <f t="shared" si="46"/>
        <v>925604</v>
      </c>
      <c r="N65" s="11">
        <f t="shared" si="47"/>
        <v>991479</v>
      </c>
      <c r="O65" s="11">
        <f t="shared" si="47"/>
        <v>1146692.53</v>
      </c>
      <c r="P65" s="11">
        <f t="shared" si="48"/>
        <v>1119043</v>
      </c>
      <c r="Q65" s="11">
        <f t="shared" si="48"/>
        <v>1219532</v>
      </c>
      <c r="R65" s="11">
        <f t="shared" si="49"/>
        <v>1484748</v>
      </c>
      <c r="S65" s="11">
        <f t="shared" si="49"/>
        <v>1207649.08</v>
      </c>
      <c r="T65" s="11">
        <f t="shared" ref="T65" si="59">+T15+T40</f>
        <v>1314394</v>
      </c>
      <c r="U65" s="11">
        <f t="shared" ref="U65:V65" si="60">+U15+U40</f>
        <v>1384039</v>
      </c>
      <c r="V65" s="11">
        <f t="shared" si="60"/>
        <v>1391426</v>
      </c>
      <c r="W65" s="11">
        <f t="shared" ref="W65:X65" si="61">+W15+W40</f>
        <v>2337111</v>
      </c>
      <c r="X65" s="11">
        <f t="shared" si="61"/>
        <v>2017742</v>
      </c>
      <c r="Y65" s="11">
        <f t="shared" ref="Y65" si="62">+Y15+Y40</f>
        <v>2134755</v>
      </c>
      <c r="Z65" s="457">
        <f t="shared" si="58"/>
        <v>5.7221528081931428E-2</v>
      </c>
      <c r="AA65" s="24"/>
      <c r="AB65" s="24"/>
      <c r="AC65" s="24"/>
      <c r="AD65" s="24"/>
      <c r="AE65" s="24"/>
      <c r="AF65" s="24"/>
      <c r="AG65" s="24"/>
      <c r="AH65" s="182"/>
    </row>
    <row r="66" spans="2:34" ht="15" customHeight="1" x14ac:dyDescent="0.25">
      <c r="B66" s="570" t="s">
        <v>116</v>
      </c>
      <c r="C66" s="29">
        <f>SUM(C63:C65)</f>
        <v>1533232</v>
      </c>
      <c r="D66" s="17">
        <f>SUM(D63:D65)</f>
        <v>913625</v>
      </c>
      <c r="E66" s="17">
        <f>SUM(E63:E65)</f>
        <v>1195089</v>
      </c>
      <c r="F66" s="17">
        <f>SUM(F63:F65)</f>
        <v>1093969</v>
      </c>
      <c r="G66" s="138">
        <f t="shared" ref="G66:S66" si="63">+G63+G64+G65</f>
        <v>1157546</v>
      </c>
      <c r="H66" s="138">
        <f t="shared" si="63"/>
        <v>1828010</v>
      </c>
      <c r="I66" s="138">
        <f t="shared" si="63"/>
        <v>3456080</v>
      </c>
      <c r="J66" s="138">
        <f t="shared" si="63"/>
        <v>2098566</v>
      </c>
      <c r="K66" s="138">
        <f t="shared" si="63"/>
        <v>1775312</v>
      </c>
      <c r="L66" s="138">
        <f t="shared" si="63"/>
        <v>2045934</v>
      </c>
      <c r="M66" s="138">
        <f t="shared" si="63"/>
        <v>2747277</v>
      </c>
      <c r="N66" s="138">
        <f t="shared" si="63"/>
        <v>3007426.61</v>
      </c>
      <c r="O66" s="138">
        <f t="shared" si="63"/>
        <v>3279420.5700000003</v>
      </c>
      <c r="P66" s="138">
        <f t="shared" si="63"/>
        <v>3314548</v>
      </c>
      <c r="Q66" s="138">
        <f t="shared" si="63"/>
        <v>3772359</v>
      </c>
      <c r="R66" s="138">
        <f t="shared" si="63"/>
        <v>7838968</v>
      </c>
      <c r="S66" s="138">
        <f t="shared" si="63"/>
        <v>3638944.08</v>
      </c>
      <c r="T66" s="138">
        <f t="shared" ref="T66" si="64">+T63+T64+T65</f>
        <v>3932683</v>
      </c>
      <c r="U66" s="138">
        <f t="shared" ref="U66:V66" si="65">+U63+U64+U65</f>
        <v>4145275</v>
      </c>
      <c r="V66" s="138">
        <f t="shared" si="65"/>
        <v>4286692</v>
      </c>
      <c r="W66" s="138">
        <f t="shared" ref="W66:X66" si="66">+W63+W64+W65</f>
        <v>7222835</v>
      </c>
      <c r="X66" s="138">
        <f t="shared" si="66"/>
        <v>5382907</v>
      </c>
      <c r="Y66" s="138">
        <f t="shared" ref="Y66" si="67">+Y63+Y64+Y65</f>
        <v>6652393</v>
      </c>
      <c r="Z66" s="458">
        <f t="shared" si="58"/>
        <v>6.8984393147888484E-2</v>
      </c>
      <c r="AA66" s="78"/>
      <c r="AB66" s="78"/>
      <c r="AC66" s="78"/>
      <c r="AD66" s="78"/>
      <c r="AE66" s="78"/>
      <c r="AF66" s="78"/>
      <c r="AG66" s="78"/>
      <c r="AH66" s="183"/>
    </row>
    <row r="67" spans="2:34" ht="15" customHeight="1" x14ac:dyDescent="0.25">
      <c r="B67" s="577"/>
      <c r="C67" s="30"/>
      <c r="D67" s="11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81"/>
      <c r="AA67" s="24"/>
      <c r="AB67" s="24"/>
      <c r="AC67" s="24"/>
      <c r="AD67" s="24"/>
      <c r="AE67" s="24"/>
      <c r="AF67" s="24"/>
      <c r="AG67" s="24"/>
      <c r="AH67" s="182"/>
    </row>
    <row r="68" spans="2:34" ht="15" customHeight="1" x14ac:dyDescent="0.25">
      <c r="B68" s="577" t="s">
        <v>93</v>
      </c>
      <c r="C68" s="30">
        <f t="shared" ref="C68:I70" si="68">+C18+C43</f>
        <v>455807</v>
      </c>
      <c r="D68" s="11">
        <f t="shared" si="68"/>
        <v>373667</v>
      </c>
      <c r="E68" s="11">
        <f t="shared" si="68"/>
        <v>439780</v>
      </c>
      <c r="F68" s="11">
        <f t="shared" si="68"/>
        <v>398314</v>
      </c>
      <c r="G68" s="11">
        <f t="shared" si="68"/>
        <v>456797</v>
      </c>
      <c r="H68" s="11">
        <f t="shared" si="68"/>
        <v>567683</v>
      </c>
      <c r="I68" s="11">
        <f t="shared" si="68"/>
        <v>1323267</v>
      </c>
      <c r="J68" s="11">
        <f t="shared" ref="J68:K70" si="69">+J18+J43</f>
        <v>587441</v>
      </c>
      <c r="K68" s="11">
        <f t="shared" si="69"/>
        <v>716169</v>
      </c>
      <c r="L68" s="11">
        <f t="shared" ref="L68:M70" si="70">+L18+L43</f>
        <v>746080</v>
      </c>
      <c r="M68" s="11">
        <f t="shared" si="70"/>
        <v>863422</v>
      </c>
      <c r="N68" s="11">
        <f t="shared" ref="N68:O70" si="71">+N18+N43</f>
        <v>1097198</v>
      </c>
      <c r="O68" s="11">
        <f t="shared" si="71"/>
        <v>1125378.1600000001</v>
      </c>
      <c r="P68" s="11">
        <f t="shared" ref="P68:Q70" si="72">+P18+P43</f>
        <v>1199038</v>
      </c>
      <c r="Q68" s="11">
        <f t="shared" si="72"/>
        <v>1507019</v>
      </c>
      <c r="R68" s="11">
        <f t="shared" ref="R68:S70" si="73">+R18+R43</f>
        <v>1312648</v>
      </c>
      <c r="S68" s="11">
        <f t="shared" si="73"/>
        <v>1254249.3799999999</v>
      </c>
      <c r="T68" s="11">
        <f t="shared" ref="T68" si="74">+T18+T43</f>
        <v>1322724</v>
      </c>
      <c r="U68" s="11">
        <f t="shared" ref="U68:V68" si="75">+U18+U43</f>
        <v>1429628</v>
      </c>
      <c r="V68" s="11">
        <f t="shared" si="75"/>
        <v>1443451</v>
      </c>
      <c r="W68" s="11">
        <f t="shared" ref="W68:X68" si="76">+W18+W43</f>
        <v>2457117</v>
      </c>
      <c r="X68" s="11">
        <f t="shared" si="76"/>
        <v>2059944</v>
      </c>
      <c r="Y68" s="11">
        <f t="shared" ref="Y68" si="77">+Y18+Y43</f>
        <v>2157743</v>
      </c>
      <c r="Z68" s="457">
        <f>RATE(-22,,-Y68,C68)</f>
        <v>7.3227420714815694E-2</v>
      </c>
      <c r="AA68" s="24"/>
      <c r="AB68" s="24"/>
      <c r="AC68" s="24"/>
      <c r="AD68" s="24"/>
      <c r="AE68" s="24"/>
      <c r="AF68" s="24"/>
      <c r="AG68" s="24"/>
      <c r="AH68" s="182"/>
    </row>
    <row r="69" spans="2:34" ht="15" customHeight="1" x14ac:dyDescent="0.25">
      <c r="B69" s="577" t="s">
        <v>94</v>
      </c>
      <c r="C69" s="30">
        <f t="shared" si="68"/>
        <v>440903</v>
      </c>
      <c r="D69" s="11">
        <f t="shared" si="68"/>
        <v>486394</v>
      </c>
      <c r="E69" s="11">
        <f t="shared" si="68"/>
        <v>392407</v>
      </c>
      <c r="F69" s="11">
        <f t="shared" si="68"/>
        <v>372945</v>
      </c>
      <c r="G69" s="11">
        <f t="shared" si="68"/>
        <v>412816</v>
      </c>
      <c r="H69" s="11">
        <f t="shared" si="68"/>
        <v>501723</v>
      </c>
      <c r="I69" s="11">
        <f t="shared" si="68"/>
        <v>1205308</v>
      </c>
      <c r="J69" s="11">
        <f t="shared" si="69"/>
        <v>639063</v>
      </c>
      <c r="K69" s="11">
        <f t="shared" si="69"/>
        <v>721482</v>
      </c>
      <c r="L69" s="11">
        <f t="shared" si="70"/>
        <v>570977</v>
      </c>
      <c r="M69" s="11">
        <f t="shared" si="70"/>
        <v>906325</v>
      </c>
      <c r="N69" s="11">
        <f t="shared" si="71"/>
        <v>1024437</v>
      </c>
      <c r="O69" s="11">
        <f t="shared" si="71"/>
        <v>1173361.72</v>
      </c>
      <c r="P69" s="11">
        <f t="shared" si="72"/>
        <v>288950</v>
      </c>
      <c r="Q69" s="11">
        <f t="shared" si="72"/>
        <v>1299258</v>
      </c>
      <c r="R69" s="11">
        <f t="shared" si="73"/>
        <v>1226053</v>
      </c>
      <c r="S69" s="11">
        <f t="shared" si="73"/>
        <v>1251065</v>
      </c>
      <c r="T69" s="11">
        <f t="shared" ref="T69" si="78">+T19+T44</f>
        <v>1375129</v>
      </c>
      <c r="U69" s="11">
        <f t="shared" ref="U69:V69" si="79">+U19+U44</f>
        <v>1458317</v>
      </c>
      <c r="V69" s="11">
        <f t="shared" si="79"/>
        <v>1905440</v>
      </c>
      <c r="W69" s="11">
        <f t="shared" ref="W69:X69" si="80">+W19+W44</f>
        <v>2446036</v>
      </c>
      <c r="X69" s="11">
        <f t="shared" si="80"/>
        <v>2055723</v>
      </c>
      <c r="Y69" s="11">
        <f t="shared" ref="Y69" si="81">+Y19+Y44</f>
        <v>2240877</v>
      </c>
      <c r="Z69" s="457">
        <f t="shared" ref="Z69:Z71" si="82">RATE(-22,,-Y69,C69)</f>
        <v>7.6699017120592669E-2</v>
      </c>
      <c r="AA69" s="24"/>
      <c r="AB69" s="24"/>
      <c r="AC69" s="24"/>
      <c r="AD69" s="24"/>
      <c r="AE69" s="24"/>
      <c r="AF69" s="24"/>
      <c r="AG69" s="24"/>
      <c r="AH69" s="182"/>
    </row>
    <row r="70" spans="2:34" ht="15" customHeight="1" x14ac:dyDescent="0.25">
      <c r="B70" s="577" t="s">
        <v>101</v>
      </c>
      <c r="C70" s="30">
        <f t="shared" si="68"/>
        <v>612145</v>
      </c>
      <c r="D70" s="11">
        <f t="shared" si="68"/>
        <v>365561</v>
      </c>
      <c r="E70" s="11">
        <f t="shared" si="68"/>
        <v>301078</v>
      </c>
      <c r="F70" s="11">
        <f t="shared" si="68"/>
        <v>355150</v>
      </c>
      <c r="G70" s="11">
        <f t="shared" si="68"/>
        <v>429520</v>
      </c>
      <c r="H70" s="11">
        <f t="shared" si="68"/>
        <v>560299</v>
      </c>
      <c r="I70" s="11">
        <f t="shared" si="68"/>
        <v>1184261</v>
      </c>
      <c r="J70" s="11">
        <f t="shared" si="69"/>
        <v>532808</v>
      </c>
      <c r="K70" s="11">
        <f t="shared" si="69"/>
        <v>606918</v>
      </c>
      <c r="L70" s="11">
        <f t="shared" si="70"/>
        <v>1000614</v>
      </c>
      <c r="M70" s="11">
        <f t="shared" si="70"/>
        <v>888862</v>
      </c>
      <c r="N70" s="11">
        <f t="shared" si="71"/>
        <v>1045186</v>
      </c>
      <c r="O70" s="11">
        <f t="shared" si="71"/>
        <v>1196873.03</v>
      </c>
      <c r="P70" s="11">
        <f t="shared" si="72"/>
        <v>1119373</v>
      </c>
      <c r="Q70" s="11">
        <f t="shared" si="72"/>
        <v>1287865</v>
      </c>
      <c r="R70" s="11">
        <f t="shared" si="73"/>
        <v>1261304</v>
      </c>
      <c r="S70" s="11">
        <f t="shared" si="73"/>
        <v>1262210.33</v>
      </c>
      <c r="T70" s="11">
        <f t="shared" ref="T70" si="83">+T20+T45</f>
        <v>1342201</v>
      </c>
      <c r="U70" s="11">
        <f t="shared" ref="U70:V70" si="84">+U20+U45</f>
        <v>1414474</v>
      </c>
      <c r="V70" s="11">
        <f t="shared" si="84"/>
        <v>2101090</v>
      </c>
      <c r="W70" s="11">
        <f t="shared" ref="W70:X70" si="85">+W20+W45</f>
        <v>2350800</v>
      </c>
      <c r="X70" s="11">
        <f t="shared" si="85"/>
        <v>2270991</v>
      </c>
      <c r="Y70" s="11">
        <f t="shared" ref="Y70" si="86">+Y20+Y45</f>
        <v>2185140</v>
      </c>
      <c r="Z70" s="457">
        <f t="shared" si="82"/>
        <v>5.9544780433186707E-2</v>
      </c>
      <c r="AA70" s="24"/>
      <c r="AB70" s="24"/>
      <c r="AC70" s="24"/>
      <c r="AD70" s="24"/>
      <c r="AE70" s="24"/>
      <c r="AF70" s="24"/>
      <c r="AG70" s="24"/>
      <c r="AH70" s="182"/>
    </row>
    <row r="71" spans="2:34" ht="15" customHeight="1" x14ac:dyDescent="0.25">
      <c r="B71" s="570" t="s">
        <v>117</v>
      </c>
      <c r="C71" s="29">
        <f>SUM(C68:C70)</f>
        <v>1508855</v>
      </c>
      <c r="D71" s="17">
        <f>SUM(D68:D70)</f>
        <v>1225622</v>
      </c>
      <c r="E71" s="17">
        <f>SUM(E68:E70)</f>
        <v>1133265</v>
      </c>
      <c r="F71" s="17">
        <f>SUM(F68:F70)</f>
        <v>1126409</v>
      </c>
      <c r="G71" s="138">
        <f t="shared" ref="G71:S71" si="87">+G68+G69+G70</f>
        <v>1299133</v>
      </c>
      <c r="H71" s="138">
        <f t="shared" si="87"/>
        <v>1629705</v>
      </c>
      <c r="I71" s="138">
        <f t="shared" si="87"/>
        <v>3712836</v>
      </c>
      <c r="J71" s="138">
        <f t="shared" si="87"/>
        <v>1759312</v>
      </c>
      <c r="K71" s="138">
        <f t="shared" si="87"/>
        <v>2044569</v>
      </c>
      <c r="L71" s="138">
        <f t="shared" si="87"/>
        <v>2317671</v>
      </c>
      <c r="M71" s="138">
        <f t="shared" si="87"/>
        <v>2658609</v>
      </c>
      <c r="N71" s="138">
        <f t="shared" si="87"/>
        <v>3166821</v>
      </c>
      <c r="O71" s="138">
        <f t="shared" si="87"/>
        <v>3495612.91</v>
      </c>
      <c r="P71" s="138">
        <f t="shared" si="87"/>
        <v>2607361</v>
      </c>
      <c r="Q71" s="138">
        <f t="shared" si="87"/>
        <v>4094142</v>
      </c>
      <c r="R71" s="138">
        <f t="shared" si="87"/>
        <v>3800005</v>
      </c>
      <c r="S71" s="138">
        <f t="shared" si="87"/>
        <v>3767524.71</v>
      </c>
      <c r="T71" s="138">
        <f t="shared" ref="T71" si="88">+T68+T69+T70</f>
        <v>4040054</v>
      </c>
      <c r="U71" s="138">
        <f t="shared" ref="U71:V71" si="89">+U68+U69+U70</f>
        <v>4302419</v>
      </c>
      <c r="V71" s="138">
        <f t="shared" si="89"/>
        <v>5449981</v>
      </c>
      <c r="W71" s="138">
        <f t="shared" ref="W71:X71" si="90">+W68+W69+W70</f>
        <v>7253953</v>
      </c>
      <c r="X71" s="138">
        <f t="shared" si="90"/>
        <v>6386658</v>
      </c>
      <c r="Y71" s="138">
        <f t="shared" ref="Y71" si="91">+Y68+Y69+Y70</f>
        <v>6583760</v>
      </c>
      <c r="Z71" s="458">
        <f t="shared" si="82"/>
        <v>6.9259264941465712E-2</v>
      </c>
      <c r="AA71" s="78"/>
      <c r="AB71" s="78"/>
      <c r="AC71" s="78"/>
      <c r="AD71" s="78"/>
      <c r="AE71" s="78"/>
      <c r="AF71" s="78"/>
      <c r="AG71" s="78"/>
      <c r="AH71" s="183"/>
    </row>
    <row r="72" spans="2:34" ht="15" customHeight="1" x14ac:dyDescent="0.25">
      <c r="B72" s="577"/>
      <c r="C72" s="30"/>
      <c r="D72" s="11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81"/>
      <c r="AA72" s="24"/>
      <c r="AB72" s="24"/>
      <c r="AC72" s="24"/>
      <c r="AD72" s="24"/>
      <c r="AE72" s="24"/>
      <c r="AF72" s="24"/>
      <c r="AG72" s="24"/>
      <c r="AH72" s="182"/>
    </row>
    <row r="73" spans="2:34" ht="15" customHeight="1" x14ac:dyDescent="0.25">
      <c r="B73" s="577" t="s">
        <v>95</v>
      </c>
      <c r="C73" s="30">
        <f t="shared" ref="C73:I75" si="92">+C23+C48</f>
        <v>450821</v>
      </c>
      <c r="D73" s="11">
        <f t="shared" si="92"/>
        <v>459250</v>
      </c>
      <c r="E73" s="11">
        <f t="shared" si="92"/>
        <v>376439</v>
      </c>
      <c r="F73" s="11">
        <f t="shared" si="92"/>
        <v>356169</v>
      </c>
      <c r="G73" s="11">
        <f t="shared" si="92"/>
        <v>459058</v>
      </c>
      <c r="H73" s="11">
        <f t="shared" si="92"/>
        <v>497559</v>
      </c>
      <c r="I73" s="11">
        <f t="shared" si="92"/>
        <v>1123297</v>
      </c>
      <c r="J73" s="11">
        <f t="shared" ref="J73:K75" si="93">+J23+J48</f>
        <v>640241</v>
      </c>
      <c r="K73" s="11">
        <f t="shared" si="93"/>
        <v>685907</v>
      </c>
      <c r="L73" s="11">
        <f t="shared" ref="L73:M75" si="94">+L23+L48</f>
        <v>847931</v>
      </c>
      <c r="M73" s="11">
        <f t="shared" si="94"/>
        <v>637885</v>
      </c>
      <c r="N73" s="11">
        <f t="shared" ref="N73:O75" si="95">+N23+N48</f>
        <v>1086037</v>
      </c>
      <c r="O73" s="11">
        <f t="shared" si="95"/>
        <v>1252595.2</v>
      </c>
      <c r="P73" s="11">
        <f t="shared" ref="P73:Q75" si="96">+P23+P48</f>
        <v>1270438</v>
      </c>
      <c r="Q73" s="11">
        <f t="shared" si="96"/>
        <v>1474183</v>
      </c>
      <c r="R73" s="11">
        <f t="shared" ref="R73:S75" si="97">+R23+R48</f>
        <v>1312591</v>
      </c>
      <c r="S73" s="11">
        <f t="shared" si="97"/>
        <v>1375353.6</v>
      </c>
      <c r="T73" s="11">
        <f t="shared" ref="T73" si="98">+T23+T48</f>
        <v>1437865</v>
      </c>
      <c r="U73" s="11">
        <f t="shared" ref="U73:V73" si="99">+U23+U48</f>
        <v>1444904</v>
      </c>
      <c r="V73" s="11">
        <f t="shared" si="99"/>
        <v>2599640</v>
      </c>
      <c r="W73" s="11">
        <f t="shared" ref="W73:X73" si="100">+W23+W48</f>
        <v>2599549</v>
      </c>
      <c r="X73" s="11">
        <f t="shared" si="100"/>
        <v>2334674</v>
      </c>
      <c r="Y73" s="11">
        <f t="shared" ref="Y73" si="101">+Y23+Y48</f>
        <v>2144823</v>
      </c>
      <c r="Z73" s="457">
        <f>RATE(-22,,-Y73,C73)</f>
        <v>7.3471040392576237E-2</v>
      </c>
      <c r="AA73" s="24"/>
      <c r="AB73" s="24"/>
      <c r="AC73" s="24"/>
      <c r="AD73" s="24"/>
      <c r="AE73" s="24"/>
      <c r="AF73" s="24"/>
      <c r="AG73" s="24"/>
      <c r="AH73" s="182"/>
    </row>
    <row r="74" spans="2:34" ht="15" customHeight="1" x14ac:dyDescent="0.25">
      <c r="B74" s="577" t="s">
        <v>96</v>
      </c>
      <c r="C74" s="30">
        <f t="shared" si="92"/>
        <v>399651</v>
      </c>
      <c r="D74" s="11">
        <f t="shared" si="92"/>
        <v>431000</v>
      </c>
      <c r="E74" s="11">
        <f t="shared" si="92"/>
        <v>421060</v>
      </c>
      <c r="F74" s="11">
        <f t="shared" si="92"/>
        <v>406856</v>
      </c>
      <c r="G74" s="11">
        <f t="shared" si="92"/>
        <v>371876</v>
      </c>
      <c r="H74" s="11">
        <f t="shared" si="92"/>
        <v>578628</v>
      </c>
      <c r="I74" s="11">
        <f t="shared" si="92"/>
        <v>1250474</v>
      </c>
      <c r="J74" s="11">
        <f t="shared" si="93"/>
        <v>452452</v>
      </c>
      <c r="K74" s="11">
        <f t="shared" si="93"/>
        <v>748961</v>
      </c>
      <c r="L74" s="11">
        <f t="shared" si="94"/>
        <v>760664</v>
      </c>
      <c r="M74" s="11">
        <f t="shared" si="94"/>
        <v>1161750</v>
      </c>
      <c r="N74" s="11">
        <f t="shared" si="95"/>
        <v>932423</v>
      </c>
      <c r="O74" s="11">
        <f t="shared" si="95"/>
        <v>1005261.6699999999</v>
      </c>
      <c r="P74" s="11">
        <f t="shared" si="96"/>
        <v>1220715</v>
      </c>
      <c r="Q74" s="11">
        <f t="shared" si="96"/>
        <v>1594521</v>
      </c>
      <c r="R74" s="11">
        <f t="shared" si="97"/>
        <v>1112149</v>
      </c>
      <c r="S74" s="11">
        <f t="shared" si="97"/>
        <v>1167321.6299999999</v>
      </c>
      <c r="T74" s="11">
        <f t="shared" ref="T74" si="102">+T24+T49</f>
        <v>1246168</v>
      </c>
      <c r="U74" s="11">
        <f t="shared" ref="U74:V74" si="103">+U24+U49</f>
        <v>1282610</v>
      </c>
      <c r="V74" s="11">
        <f t="shared" si="103"/>
        <v>2372569</v>
      </c>
      <c r="W74" s="11">
        <f t="shared" ref="W74:X74" si="104">+W24+W49</f>
        <v>2307169</v>
      </c>
      <c r="X74" s="11">
        <f t="shared" si="104"/>
        <v>2088943</v>
      </c>
      <c r="Y74" s="11">
        <f t="shared" ref="Y74" si="105">+Y24+Y49</f>
        <v>2013151</v>
      </c>
      <c r="Z74" s="457">
        <f t="shared" ref="Z74:Z76" si="106">RATE(-22,,-Y74,C74)</f>
        <v>7.6261921015680231E-2</v>
      </c>
      <c r="AA74" s="24"/>
      <c r="AB74" s="24"/>
      <c r="AC74" s="24"/>
      <c r="AD74" s="24"/>
      <c r="AE74" s="24"/>
      <c r="AF74" s="24"/>
      <c r="AG74" s="24"/>
      <c r="AH74" s="182"/>
    </row>
    <row r="75" spans="2:34" ht="15" customHeight="1" x14ac:dyDescent="0.25">
      <c r="B75" s="577" t="s">
        <v>97</v>
      </c>
      <c r="C75" s="30">
        <f t="shared" si="92"/>
        <v>610730</v>
      </c>
      <c r="D75" s="11">
        <f t="shared" si="92"/>
        <v>495052</v>
      </c>
      <c r="E75" s="11">
        <f t="shared" si="92"/>
        <v>330621</v>
      </c>
      <c r="F75" s="11">
        <f t="shared" si="92"/>
        <v>394405</v>
      </c>
      <c r="G75" s="11">
        <f t="shared" si="92"/>
        <v>438515</v>
      </c>
      <c r="H75" s="11">
        <f t="shared" si="92"/>
        <v>589538</v>
      </c>
      <c r="I75" s="11">
        <f t="shared" si="92"/>
        <v>1476971</v>
      </c>
      <c r="J75" s="11">
        <f t="shared" si="93"/>
        <v>613426</v>
      </c>
      <c r="K75" s="11">
        <f t="shared" si="93"/>
        <v>614438</v>
      </c>
      <c r="L75" s="11">
        <f t="shared" si="94"/>
        <v>794476</v>
      </c>
      <c r="M75" s="11">
        <f t="shared" si="94"/>
        <v>1639268</v>
      </c>
      <c r="N75" s="11">
        <f t="shared" si="95"/>
        <v>1027238</v>
      </c>
      <c r="O75" s="11">
        <f t="shared" si="95"/>
        <v>1111881.44</v>
      </c>
      <c r="P75" s="11">
        <f t="shared" si="96"/>
        <v>1210768</v>
      </c>
      <c r="Q75" s="11">
        <f t="shared" si="96"/>
        <v>2761866.13</v>
      </c>
      <c r="R75" s="11">
        <f t="shared" si="97"/>
        <v>1210652</v>
      </c>
      <c r="S75" s="11">
        <f t="shared" si="97"/>
        <v>1278977</v>
      </c>
      <c r="T75" s="11">
        <f t="shared" ref="T75" si="107">+T25+T50</f>
        <v>1271452</v>
      </c>
      <c r="U75" s="11">
        <f t="shared" ref="U75:V75" si="108">+U25+U50</f>
        <v>1344658</v>
      </c>
      <c r="V75" s="11">
        <f t="shared" si="108"/>
        <v>2308306</v>
      </c>
      <c r="W75" s="11">
        <f t="shared" ref="W75:X75" si="109">+W25+W50</f>
        <v>2377057</v>
      </c>
      <c r="X75" s="11">
        <f t="shared" si="109"/>
        <v>2286049</v>
      </c>
      <c r="Y75" s="11">
        <f t="shared" ref="Y75" si="110">+Y25+Y50</f>
        <v>2186065</v>
      </c>
      <c r="Z75" s="457">
        <f t="shared" si="106"/>
        <v>5.9676627014606402E-2</v>
      </c>
      <c r="AA75" s="24"/>
      <c r="AB75" s="24"/>
      <c r="AC75" s="24"/>
      <c r="AD75" s="24"/>
      <c r="AE75" s="24"/>
      <c r="AF75" s="24"/>
      <c r="AG75" s="24"/>
      <c r="AH75" s="182"/>
    </row>
    <row r="76" spans="2:34" ht="15" customHeight="1" x14ac:dyDescent="0.25">
      <c r="B76" s="570" t="s">
        <v>118</v>
      </c>
      <c r="C76" s="29">
        <f>SUM(C73:C75)</f>
        <v>1461202</v>
      </c>
      <c r="D76" s="17">
        <f>SUM(D73:D75)</f>
        <v>1385302</v>
      </c>
      <c r="E76" s="17">
        <f>SUM(E73:E75)</f>
        <v>1128120</v>
      </c>
      <c r="F76" s="17">
        <f>SUM(F73:F75)</f>
        <v>1157430</v>
      </c>
      <c r="G76" s="138">
        <f t="shared" ref="G76:S76" si="111">+G73+G74+G75</f>
        <v>1269449</v>
      </c>
      <c r="H76" s="138">
        <f t="shared" si="111"/>
        <v>1665725</v>
      </c>
      <c r="I76" s="138">
        <f t="shared" si="111"/>
        <v>3850742</v>
      </c>
      <c r="J76" s="138">
        <f t="shared" si="111"/>
        <v>1706119</v>
      </c>
      <c r="K76" s="138">
        <f t="shared" si="111"/>
        <v>2049306</v>
      </c>
      <c r="L76" s="138">
        <f t="shared" si="111"/>
        <v>2403071</v>
      </c>
      <c r="M76" s="138">
        <f t="shared" si="111"/>
        <v>3438903</v>
      </c>
      <c r="N76" s="138">
        <f t="shared" si="111"/>
        <v>3045698</v>
      </c>
      <c r="O76" s="138">
        <f t="shared" si="111"/>
        <v>3369738.31</v>
      </c>
      <c r="P76" s="138">
        <f t="shared" si="111"/>
        <v>3701921</v>
      </c>
      <c r="Q76" s="138">
        <f t="shared" si="111"/>
        <v>5830570.1299999999</v>
      </c>
      <c r="R76" s="138">
        <f t="shared" si="111"/>
        <v>3635392</v>
      </c>
      <c r="S76" s="138">
        <f t="shared" si="111"/>
        <v>3821652.23</v>
      </c>
      <c r="T76" s="138">
        <f t="shared" ref="T76" si="112">+T73+T74+T75</f>
        <v>3955485</v>
      </c>
      <c r="U76" s="138">
        <f t="shared" ref="U76:V76" si="113">+U73+U74+U75</f>
        <v>4072172</v>
      </c>
      <c r="V76" s="138">
        <f t="shared" si="113"/>
        <v>7280515</v>
      </c>
      <c r="W76" s="138">
        <f t="shared" ref="W76:X76" si="114">+W73+W74+W75</f>
        <v>7283775</v>
      </c>
      <c r="X76" s="138">
        <f t="shared" si="114"/>
        <v>6709666</v>
      </c>
      <c r="Y76" s="138">
        <f t="shared" ref="Y76" si="115">+Y73+Y74+Y75</f>
        <v>6344039</v>
      </c>
      <c r="Z76" s="458">
        <f t="shared" si="106"/>
        <v>6.9016343299873953E-2</v>
      </c>
      <c r="AA76" s="78"/>
      <c r="AB76" s="78"/>
      <c r="AC76" s="78"/>
      <c r="AD76" s="78"/>
      <c r="AE76" s="78"/>
      <c r="AF76" s="78"/>
      <c r="AG76" s="78"/>
      <c r="AH76" s="183"/>
    </row>
    <row r="77" spans="2:34" ht="15" customHeight="1" thickBot="1" x14ac:dyDescent="0.3">
      <c r="B77" s="585"/>
      <c r="C77" s="83"/>
      <c r="D77" s="75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658"/>
      <c r="AA77" s="24"/>
      <c r="AB77" s="24"/>
      <c r="AC77" s="24"/>
      <c r="AD77" s="24"/>
      <c r="AE77" s="24"/>
      <c r="AF77" s="24"/>
      <c r="AG77" s="24"/>
      <c r="AH77" s="182"/>
    </row>
    <row r="78" spans="2:34" ht="15" customHeight="1" thickBot="1" x14ac:dyDescent="0.3">
      <c r="B78" s="557" t="s">
        <v>119</v>
      </c>
      <c r="C78" s="84">
        <f t="shared" ref="C78:J78" si="116">+C61+C66+C71+C76</f>
        <v>6131372</v>
      </c>
      <c r="D78" s="77">
        <f t="shared" si="116"/>
        <v>4319386</v>
      </c>
      <c r="E78" s="77">
        <f t="shared" si="116"/>
        <v>4711199</v>
      </c>
      <c r="F78" s="77">
        <f t="shared" si="116"/>
        <v>4280849</v>
      </c>
      <c r="G78" s="144">
        <f t="shared" si="116"/>
        <v>4790409</v>
      </c>
      <c r="H78" s="144">
        <f t="shared" si="116"/>
        <v>6844461</v>
      </c>
      <c r="I78" s="144">
        <f t="shared" si="116"/>
        <v>12484825</v>
      </c>
      <c r="J78" s="144">
        <f t="shared" si="116"/>
        <v>9151688</v>
      </c>
      <c r="K78" s="144">
        <f t="shared" ref="K78:P78" si="117">+K61+K66+K71+K76</f>
        <v>7716807</v>
      </c>
      <c r="L78" s="144">
        <f t="shared" si="117"/>
        <v>8687486</v>
      </c>
      <c r="M78" s="144">
        <f t="shared" si="117"/>
        <v>11175219</v>
      </c>
      <c r="N78" s="144">
        <f t="shared" si="117"/>
        <v>11414103.609999999</v>
      </c>
      <c r="O78" s="144">
        <f t="shared" si="117"/>
        <v>13016576.440000001</v>
      </c>
      <c r="P78" s="144">
        <f t="shared" si="117"/>
        <v>12876906</v>
      </c>
      <c r="Q78" s="144">
        <f t="shared" ref="Q78:V78" si="118">+Q61+Q66+Q71+Q76</f>
        <v>16016364.129999999</v>
      </c>
      <c r="R78" s="144">
        <f t="shared" si="118"/>
        <v>26444568.32</v>
      </c>
      <c r="S78" s="144">
        <f t="shared" si="118"/>
        <v>14736470.02</v>
      </c>
      <c r="T78" s="144">
        <f t="shared" si="118"/>
        <v>15513162</v>
      </c>
      <c r="U78" s="144">
        <f t="shared" si="118"/>
        <v>16603451</v>
      </c>
      <c r="V78" s="144">
        <f t="shared" si="118"/>
        <v>21061231</v>
      </c>
      <c r="W78" s="144">
        <f t="shared" ref="W78:X78" si="119">+W61+W66+W71+W76</f>
        <v>28975215</v>
      </c>
      <c r="X78" s="144">
        <f t="shared" si="119"/>
        <v>25139439</v>
      </c>
      <c r="Y78" s="144">
        <f t="shared" ref="Y78" si="120">+Y61+Y66+Y71+Y76</f>
        <v>26076464</v>
      </c>
      <c r="Z78" s="459">
        <f>RATE(-22,,-Y78,C78)</f>
        <v>6.8013802096461393E-2</v>
      </c>
      <c r="AA78" s="78"/>
      <c r="AB78" s="78"/>
      <c r="AC78" s="78"/>
      <c r="AD78" s="78"/>
      <c r="AE78" s="78"/>
      <c r="AF78" s="78"/>
      <c r="AG78" s="78"/>
      <c r="AH78" s="183"/>
    </row>
    <row r="80" spans="2:34" s="14" customFormat="1" ht="15" customHeight="1" x14ac:dyDescent="0.25">
      <c r="B80" s="63" t="s">
        <v>219</v>
      </c>
      <c r="Z80" s="48"/>
      <c r="AH80" s="48"/>
    </row>
  </sheetData>
  <mergeCells count="12">
    <mergeCell ref="B55:B56"/>
    <mergeCell ref="AA55:AH55"/>
    <mergeCell ref="C55:Z55"/>
    <mergeCell ref="B5:B6"/>
    <mergeCell ref="C5:Z5"/>
    <mergeCell ref="C30:Z30"/>
    <mergeCell ref="B30:B31"/>
    <mergeCell ref="AI5:AK5"/>
    <mergeCell ref="B1:Z1"/>
    <mergeCell ref="B2:Z2"/>
    <mergeCell ref="B3:Z3"/>
    <mergeCell ref="B4:Z4"/>
  </mergeCells>
  <phoneticPr fontId="0" type="noConversion"/>
  <printOptions horizontalCentered="1" verticalCentered="1"/>
  <pageMargins left="0.78740157480314965" right="0.39370078740157483" top="0.39370078740157483" bottom="0.78740157480314965" header="0" footer="0"/>
  <pageSetup scale="8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K80"/>
  <sheetViews>
    <sheetView topLeftCell="M1" workbookViewId="0">
      <selection activeCell="Z58" sqref="Z58:Z78"/>
    </sheetView>
  </sheetViews>
  <sheetFormatPr baseColWidth="10" defaultColWidth="11.44140625" defaultRowHeight="15" customHeight="1" x14ac:dyDescent="0.25"/>
  <cols>
    <col min="1" max="1" width="2.6640625" style="13" customWidth="1"/>
    <col min="2" max="2" width="17.88671875" style="13" customWidth="1"/>
    <col min="3" max="25" width="12.6640625" style="13" customWidth="1"/>
    <col min="26" max="26" width="12.6640625" style="45" customWidth="1"/>
    <col min="27" max="27" width="11.6640625" style="13" customWidth="1"/>
    <col min="28" max="28" width="16.44140625" style="13" customWidth="1"/>
    <col min="29" max="29" width="11.88671875" style="13" customWidth="1"/>
    <col min="30" max="30" width="12.6640625" style="13" customWidth="1"/>
    <col min="31" max="32" width="11.6640625" style="13" customWidth="1"/>
    <col min="33" max="33" width="13.44140625" style="13" customWidth="1"/>
    <col min="34" max="34" width="12" style="45" customWidth="1"/>
    <col min="35" max="37" width="12.6640625" style="13" customWidth="1"/>
    <col min="38" max="16384" width="11.44140625" style="13"/>
  </cols>
  <sheetData>
    <row r="1" spans="2:37" ht="15" customHeight="1" x14ac:dyDescent="0.25">
      <c r="B1" s="864" t="s">
        <v>201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47"/>
      <c r="AB1" s="47"/>
      <c r="AC1" s="47"/>
      <c r="AD1" s="47"/>
      <c r="AE1" s="47"/>
      <c r="AF1" s="47"/>
      <c r="AG1" s="47"/>
      <c r="AH1" s="47"/>
      <c r="AI1" s="41"/>
      <c r="AJ1" s="41"/>
      <c r="AK1" s="41"/>
    </row>
    <row r="2" spans="2:37" ht="15" customHeight="1" x14ac:dyDescent="0.25">
      <c r="B2" s="864" t="s">
        <v>134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47"/>
      <c r="AB2" s="47"/>
      <c r="AC2" s="47"/>
      <c r="AD2" s="47"/>
      <c r="AE2" s="47"/>
      <c r="AF2" s="47"/>
      <c r="AG2" s="47"/>
      <c r="AH2" s="47"/>
      <c r="AI2" s="41"/>
      <c r="AJ2" s="41"/>
      <c r="AK2" s="41"/>
    </row>
    <row r="3" spans="2:37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  <c r="AA3" s="47"/>
      <c r="AB3" s="47"/>
      <c r="AC3" s="47"/>
      <c r="AD3" s="47"/>
      <c r="AE3" s="47"/>
      <c r="AF3" s="47"/>
      <c r="AG3" s="47"/>
      <c r="AH3" s="47"/>
      <c r="AI3" s="41"/>
      <c r="AJ3" s="41"/>
      <c r="AK3" s="41"/>
    </row>
    <row r="4" spans="2:37" ht="15" customHeight="1" thickBot="1" x14ac:dyDescent="0.3">
      <c r="B4" s="929" t="s">
        <v>27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47"/>
      <c r="AB4" s="47"/>
      <c r="AC4" s="47"/>
      <c r="AD4" s="47"/>
      <c r="AE4" s="47"/>
      <c r="AF4" s="47"/>
      <c r="AG4" s="47"/>
      <c r="AH4" s="47"/>
      <c r="AI4" s="41"/>
      <c r="AJ4" s="41"/>
      <c r="AK4" s="41"/>
    </row>
    <row r="5" spans="2:37" ht="15" customHeight="1" x14ac:dyDescent="0.25">
      <c r="B5" s="922" t="s">
        <v>100</v>
      </c>
      <c r="C5" s="922" t="s">
        <v>136</v>
      </c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4"/>
      <c r="AH5" s="13"/>
      <c r="AI5" s="928"/>
      <c r="AJ5" s="928"/>
      <c r="AK5" s="928"/>
    </row>
    <row r="6" spans="2:37" ht="15" customHeight="1" thickBot="1" x14ac:dyDescent="0.3">
      <c r="B6" s="932"/>
      <c r="C6" s="592">
        <v>1999</v>
      </c>
      <c r="D6" s="587">
        <v>2000</v>
      </c>
      <c r="E6" s="586">
        <v>2001</v>
      </c>
      <c r="F6" s="588">
        <v>2002</v>
      </c>
      <c r="G6" s="589">
        <v>2003</v>
      </c>
      <c r="H6" s="589">
        <v>2004</v>
      </c>
      <c r="I6" s="589">
        <v>2005</v>
      </c>
      <c r="J6" s="589">
        <v>2006</v>
      </c>
      <c r="K6" s="589">
        <v>2007</v>
      </c>
      <c r="L6" s="589">
        <v>2008</v>
      </c>
      <c r="M6" s="589">
        <v>2009</v>
      </c>
      <c r="N6" s="589">
        <v>2010</v>
      </c>
      <c r="O6" s="589">
        <v>2011</v>
      </c>
      <c r="P6" s="589">
        <v>2012</v>
      </c>
      <c r="Q6" s="589">
        <v>2013</v>
      </c>
      <c r="R6" s="589">
        <v>2014</v>
      </c>
      <c r="S6" s="589">
        <v>2015</v>
      </c>
      <c r="T6" s="733">
        <v>2016</v>
      </c>
      <c r="U6" s="756">
        <v>2017</v>
      </c>
      <c r="V6" s="769">
        <v>2018</v>
      </c>
      <c r="W6" s="788">
        <v>2019</v>
      </c>
      <c r="X6" s="805">
        <v>2020</v>
      </c>
      <c r="Y6" s="825">
        <v>2021</v>
      </c>
      <c r="Z6" s="552" t="s">
        <v>102</v>
      </c>
      <c r="AH6" s="13"/>
      <c r="AI6" s="31"/>
      <c r="AJ6" s="31"/>
      <c r="AK6" s="31"/>
    </row>
    <row r="7" spans="2:37" ht="15" customHeight="1" x14ac:dyDescent="0.25">
      <c r="B7" s="574"/>
      <c r="C7" s="370"/>
      <c r="D7" s="371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174"/>
      <c r="AH7" s="13"/>
      <c r="AI7" s="79"/>
      <c r="AJ7" s="79"/>
      <c r="AK7" s="80"/>
    </row>
    <row r="8" spans="2:37" ht="15" customHeight="1" x14ac:dyDescent="0.25">
      <c r="B8" s="577" t="s">
        <v>86</v>
      </c>
      <c r="C8" s="361">
        <f>'C-SH-5A ConsCombSectGob,99-21'!C8/42</f>
        <v>5839.8809523809523</v>
      </c>
      <c r="D8" s="349">
        <f>'C-SH-5A ConsCombSectGob,99-21'!D8/42</f>
        <v>6900.3571428571431</v>
      </c>
      <c r="E8" s="350">
        <f>'C-SH-5A ConsCombSectGob,99-21'!E8/42</f>
        <v>5464.5476190476193</v>
      </c>
      <c r="F8" s="350">
        <f>'C-SH-5A ConsCombSectGob,99-21'!F8/42</f>
        <v>3482.0238095238096</v>
      </c>
      <c r="G8" s="350">
        <f>'C-SH-5A ConsCombSectGob,99-21'!G8/42</f>
        <v>3927.6190476190477</v>
      </c>
      <c r="H8" s="350">
        <f>'C-SH-5A ConsCombSectGob,99-21'!H8/42</f>
        <v>3251.2380952380954</v>
      </c>
      <c r="I8" s="350">
        <f>'C-SH-5A ConsCombSectGob,99-21'!I8/42</f>
        <v>2970.3571428571427</v>
      </c>
      <c r="J8" s="350">
        <f>'C-SH-5A ConsCombSectGob,99-21'!J8/42</f>
        <v>2237.4523809523807</v>
      </c>
      <c r="K8" s="350">
        <f>'C-SH-5A ConsCombSectGob,99-21'!K8/42</f>
        <v>2303.6428571428573</v>
      </c>
      <c r="L8" s="350">
        <f>'C-SH-5A ConsCombSectGob,99-21'!L8/42</f>
        <v>2574.1190476190477</v>
      </c>
      <c r="M8" s="350">
        <f>'C-SH-5A ConsCombSectGob,99-21'!M8/42</f>
        <v>2233.3809523809523</v>
      </c>
      <c r="N8" s="350">
        <f>'C-SH-5A ConsCombSectGob,99-21'!N8/42</f>
        <v>4182.5238095238092</v>
      </c>
      <c r="O8" s="350">
        <f>'C-SH-5A ConsCombSectGob,99-21'!O8/42</f>
        <v>6193.390476190476</v>
      </c>
      <c r="P8" s="350">
        <f>'C-SH-5A ConsCombSectGob,99-21'!P8/42</f>
        <v>7586.9523809523807</v>
      </c>
      <c r="Q8" s="350">
        <f>'C-SH-5A ConsCombSectGob,99-21'!Q8/42</f>
        <v>3909.8809523809523</v>
      </c>
      <c r="R8" s="350">
        <f>'C-SH-5A ConsCombSectGob,99-21'!R8/42</f>
        <v>8709.0238095238092</v>
      </c>
      <c r="S8" s="350">
        <f>'C-SH-5A ConsCombSectGob,99-21'!S8/42</f>
        <v>8660.1666666666661</v>
      </c>
      <c r="T8" s="350">
        <f>'C-SH-5A ConsCombSectGob,99-21'!T8/42</f>
        <v>8732.9285714285706</v>
      </c>
      <c r="U8" s="350">
        <f>'C-SH-5A ConsCombSectGob,99-21'!U8/42</f>
        <v>8594.6190476190477</v>
      </c>
      <c r="V8" s="350">
        <f>'C-SH-5A ConsCombSectGob,99-21'!V8/42</f>
        <v>8465.6666666666661</v>
      </c>
      <c r="W8" s="350">
        <f>'C-SH-5A ConsCombSectGob,99-21'!W8/42</f>
        <v>8675.7142857142862</v>
      </c>
      <c r="X8" s="350">
        <f>'C-SH-5A ConsCombSectGob,99-21'!X8/42</f>
        <v>8133.3809523809523</v>
      </c>
      <c r="Y8" s="350">
        <f>'C-SH-5A ConsCombSectGob,99-21'!Y8/42</f>
        <v>7120.7857142857147</v>
      </c>
      <c r="Z8" s="457">
        <f>RATE(-22,,-Y8,C8)</f>
        <v>9.0547328784935151E-3</v>
      </c>
      <c r="AH8" s="13"/>
      <c r="AI8" s="79"/>
      <c r="AJ8" s="79"/>
      <c r="AK8" s="80"/>
    </row>
    <row r="9" spans="2:37" ht="15" customHeight="1" x14ac:dyDescent="0.25">
      <c r="B9" s="577" t="s">
        <v>87</v>
      </c>
      <c r="C9" s="361">
        <f>'C-SH-5A ConsCombSectGob,99-21'!C9/42</f>
        <v>3381.6904761904761</v>
      </c>
      <c r="D9" s="349">
        <f>'C-SH-5A ConsCombSectGob,99-21'!D9/42</f>
        <v>1139.4047619047619</v>
      </c>
      <c r="E9" s="350">
        <f>'C-SH-5A ConsCombSectGob,99-21'!E9/42</f>
        <v>5364.1190476190477</v>
      </c>
      <c r="F9" s="350">
        <f>'C-SH-5A ConsCombSectGob,99-21'!F9/42</f>
        <v>3109.9761904761904</v>
      </c>
      <c r="G9" s="350">
        <f>'C-SH-5A ConsCombSectGob,99-21'!G9/42</f>
        <v>3105.8571428571427</v>
      </c>
      <c r="H9" s="350">
        <f>'C-SH-5A ConsCombSectGob,99-21'!H9/42</f>
        <v>3371.8333333333335</v>
      </c>
      <c r="I9" s="350">
        <f>'C-SH-5A ConsCombSectGob,99-21'!I9/42</f>
        <v>1845.0238095238096</v>
      </c>
      <c r="J9" s="350">
        <f>'C-SH-5A ConsCombSectGob,99-21'!J9/42</f>
        <v>2494.8333333333335</v>
      </c>
      <c r="K9" s="350">
        <f>'C-SH-5A ConsCombSectGob,99-21'!K9/42</f>
        <v>2607.9523809523807</v>
      </c>
      <c r="L9" s="350">
        <f>'C-SH-5A ConsCombSectGob,99-21'!L9/42</f>
        <v>1966.952380952381</v>
      </c>
      <c r="M9" s="350">
        <f>'C-SH-5A ConsCombSectGob,99-21'!M9/42</f>
        <v>3619.5476190476193</v>
      </c>
      <c r="N9" s="350">
        <f>'C-SH-5A ConsCombSectGob,99-21'!N9/42</f>
        <v>3762.1904761904761</v>
      </c>
      <c r="O9" s="350">
        <f>'C-SH-5A ConsCombSectGob,99-21'!O9/42</f>
        <v>2846.9085714285716</v>
      </c>
      <c r="P9" s="350">
        <f>'C-SH-5A ConsCombSectGob,99-21'!P9/42</f>
        <v>7750.9047619047615</v>
      </c>
      <c r="Q9" s="350">
        <f>'C-SH-5A ConsCombSectGob,99-21'!Q9/42</f>
        <v>8718.1428571428569</v>
      </c>
      <c r="R9" s="350">
        <f>'C-SH-5A ConsCombSectGob,99-21'!R9/42</f>
        <v>9070.6478571428579</v>
      </c>
      <c r="S9" s="350">
        <f>'C-SH-5A ConsCombSectGob,99-21'!S9/42</f>
        <v>8348.5476190476184</v>
      </c>
      <c r="T9" s="350">
        <f>'C-SH-5A ConsCombSectGob,99-21'!T9/42</f>
        <v>8348.9523809523816</v>
      </c>
      <c r="U9" s="350">
        <f>'C-SH-5A ConsCombSectGob,99-21'!U9/42</f>
        <v>8462.4761904761908</v>
      </c>
      <c r="V9" s="350">
        <f>'C-SH-5A ConsCombSectGob,99-21'!V9/42</f>
        <v>8041.0714285714284</v>
      </c>
      <c r="W9" s="350">
        <f>'C-SH-5A ConsCombSectGob,99-21'!W9/42</f>
        <v>8716.6428571428569</v>
      </c>
      <c r="X9" s="350">
        <f>'C-SH-5A ConsCombSectGob,99-21'!X9/42</f>
        <v>7970.9285714285716</v>
      </c>
      <c r="Y9" s="350">
        <f>'C-SH-5A ConsCombSectGob,99-21'!Y9/42</f>
        <v>7359.2619047619046</v>
      </c>
      <c r="Z9" s="457">
        <f t="shared" ref="Z9:Z11" si="0">RATE(-22,,-Y9,C9)</f>
        <v>3.5976772823059562E-2</v>
      </c>
      <c r="AH9" s="13"/>
      <c r="AI9" s="79"/>
      <c r="AJ9" s="79"/>
      <c r="AK9" s="80"/>
    </row>
    <row r="10" spans="2:37" ht="15" customHeight="1" x14ac:dyDescent="0.25">
      <c r="B10" s="577" t="s">
        <v>88</v>
      </c>
      <c r="C10" s="361">
        <f>'C-SH-5A ConsCombSectGob,99-21'!C10/42</f>
        <v>9320.9047619047615</v>
      </c>
      <c r="D10" s="349">
        <f>'C-SH-5A ConsCombSectGob,99-21'!D10/42</f>
        <v>1090.8809523809523</v>
      </c>
      <c r="E10" s="350">
        <f>'C-SH-5A ConsCombSectGob,99-21'!E10/42</f>
        <v>3424.8809523809523</v>
      </c>
      <c r="F10" s="350">
        <f>'C-SH-5A ConsCombSectGob,99-21'!F10/42</f>
        <v>1926.5238095238096</v>
      </c>
      <c r="G10" s="350">
        <f>'C-SH-5A ConsCombSectGob,99-21'!G10/42</f>
        <v>3225.2619047619046</v>
      </c>
      <c r="H10" s="350">
        <f>'C-SH-5A ConsCombSectGob,99-21'!H10/42</f>
        <v>3901.8809523809523</v>
      </c>
      <c r="I10" s="350">
        <f>'C-SH-5A ConsCombSectGob,99-21'!I10/42</f>
        <v>2588.4285714285716</v>
      </c>
      <c r="J10" s="350">
        <f>'C-SH-5A ConsCombSectGob,99-21'!J10/42</f>
        <v>3964.9761904761904</v>
      </c>
      <c r="K10" s="350">
        <f>'C-SH-5A ConsCombSectGob,99-21'!K10/42</f>
        <v>5061.4285714285716</v>
      </c>
      <c r="L10" s="350">
        <f>'C-SH-5A ConsCombSectGob,99-21'!L10/42</f>
        <v>2676.8809523809523</v>
      </c>
      <c r="M10" s="350">
        <f>'C-SH-5A ConsCombSectGob,99-21'!M10/42</f>
        <v>4444.333333333333</v>
      </c>
      <c r="N10" s="350">
        <f>'C-SH-5A ConsCombSectGob,99-21'!N10/42</f>
        <v>5928.4761904761908</v>
      </c>
      <c r="O10" s="350">
        <f>'C-SH-5A ConsCombSectGob,99-21'!O10/42</f>
        <v>6634.2402380952371</v>
      </c>
      <c r="P10" s="350">
        <f>'C-SH-5A ConsCombSectGob,99-21'!P10/42</f>
        <v>7791.2857142857147</v>
      </c>
      <c r="Q10" s="350">
        <f>'C-SH-5A ConsCombSectGob,99-21'!Q10/42</f>
        <v>1392.8571428571429</v>
      </c>
      <c r="R10" s="350">
        <f>'C-SH-5A ConsCombSectGob,99-21'!R10/42</f>
        <v>8597.5</v>
      </c>
      <c r="S10" s="350">
        <f>'C-SH-5A ConsCombSectGob,99-21'!S10/42</f>
        <v>9108.0952380952385</v>
      </c>
      <c r="T10" s="350">
        <f>'C-SH-5A ConsCombSectGob,99-21'!T10/42</f>
        <v>8617.4285714285706</v>
      </c>
      <c r="U10" s="350">
        <f>'C-SH-5A ConsCombSectGob,99-21'!U10/42</f>
        <v>9711.8571428571431</v>
      </c>
      <c r="V10" s="350">
        <f>'C-SH-5A ConsCombSectGob,99-21'!V10/42</f>
        <v>8888.0714285714294</v>
      </c>
      <c r="W10" s="350">
        <f>'C-SH-5A ConsCombSectGob,99-21'!W10/42</f>
        <v>8572.2142857142862</v>
      </c>
      <c r="X10" s="350">
        <f>'C-SH-5A ConsCombSectGob,99-21'!X10/42</f>
        <v>7768.9285714285716</v>
      </c>
      <c r="Y10" s="350">
        <f>'C-SH-5A ConsCombSectGob,99-21'!Y10/42</f>
        <v>8767.8333333333339</v>
      </c>
      <c r="Z10" s="457">
        <f t="shared" si="0"/>
        <v>-2.776591752258735E-3</v>
      </c>
      <c r="AH10" s="13"/>
      <c r="AI10" s="79"/>
      <c r="AJ10" s="79"/>
      <c r="AK10" s="80"/>
    </row>
    <row r="11" spans="2:37" ht="15" customHeight="1" x14ac:dyDescent="0.25">
      <c r="B11" s="570" t="s">
        <v>115</v>
      </c>
      <c r="C11" s="373">
        <f t="shared" ref="C11:R11" si="1">SUM(C8:C10)</f>
        <v>18542.476190476191</v>
      </c>
      <c r="D11" s="363">
        <f t="shared" si="1"/>
        <v>9130.6428571428569</v>
      </c>
      <c r="E11" s="363">
        <f t="shared" si="1"/>
        <v>14253.54761904762</v>
      </c>
      <c r="F11" s="363">
        <f t="shared" si="1"/>
        <v>8518.5238095238092</v>
      </c>
      <c r="G11" s="363">
        <f t="shared" si="1"/>
        <v>10258.738095238095</v>
      </c>
      <c r="H11" s="363">
        <f t="shared" si="1"/>
        <v>10524.952380952382</v>
      </c>
      <c r="I11" s="363">
        <f t="shared" si="1"/>
        <v>7403.8095238095239</v>
      </c>
      <c r="J11" s="363">
        <f t="shared" si="1"/>
        <v>8697.2619047619046</v>
      </c>
      <c r="K11" s="363">
        <f t="shared" si="1"/>
        <v>9973.0238095238092</v>
      </c>
      <c r="L11" s="363">
        <f t="shared" si="1"/>
        <v>7217.9523809523807</v>
      </c>
      <c r="M11" s="363">
        <f t="shared" si="1"/>
        <v>10297.261904761905</v>
      </c>
      <c r="N11" s="363">
        <f t="shared" si="1"/>
        <v>13873.190476190477</v>
      </c>
      <c r="O11" s="363">
        <f t="shared" si="1"/>
        <v>15674.539285714285</v>
      </c>
      <c r="P11" s="363">
        <f t="shared" si="1"/>
        <v>23129.142857142855</v>
      </c>
      <c r="Q11" s="363">
        <f t="shared" si="1"/>
        <v>14020.880952380952</v>
      </c>
      <c r="R11" s="363">
        <f t="shared" si="1"/>
        <v>26377.171666666669</v>
      </c>
      <c r="S11" s="364">
        <f>'C-SH-5A ConsCombSectGob,99-21'!S11/42</f>
        <v>26116.809523809523</v>
      </c>
      <c r="T11" s="364">
        <f>'C-SH-5A ConsCombSectGob,99-21'!T11/42</f>
        <v>25699.309523809523</v>
      </c>
      <c r="U11" s="364">
        <f>'C-SH-5A ConsCombSectGob,99-21'!U11/42</f>
        <v>26768.952380952382</v>
      </c>
      <c r="V11" s="364">
        <f>'C-SH-5A ConsCombSectGob,99-21'!V11/42</f>
        <v>25394.809523809523</v>
      </c>
      <c r="W11" s="364">
        <f>'C-SH-5A ConsCombSectGob,99-21'!W11/42</f>
        <v>25964.571428571428</v>
      </c>
      <c r="X11" s="364">
        <f>'C-SH-5A ConsCombSectGob,99-21'!X11/42</f>
        <v>23873.238095238095</v>
      </c>
      <c r="Y11" s="364">
        <f>'C-SH-5A ConsCombSectGob,99-21'!Y11/42</f>
        <v>23247.880952380954</v>
      </c>
      <c r="Z11" s="458">
        <f t="shared" si="0"/>
        <v>1.0332555767736262E-2</v>
      </c>
      <c r="AH11" s="13"/>
      <c r="AI11" s="81"/>
      <c r="AJ11" s="81"/>
      <c r="AK11" s="82"/>
    </row>
    <row r="12" spans="2:37" ht="15" customHeight="1" x14ac:dyDescent="0.25">
      <c r="B12" s="577"/>
      <c r="C12" s="361"/>
      <c r="D12" s="349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181"/>
      <c r="AH12" s="13"/>
      <c r="AI12" s="79"/>
      <c r="AJ12" s="79"/>
      <c r="AK12" s="80"/>
    </row>
    <row r="13" spans="2:37" ht="15" customHeight="1" x14ac:dyDescent="0.25">
      <c r="B13" s="577" t="s">
        <v>89</v>
      </c>
      <c r="C13" s="361">
        <f>'C-SH-5A ConsCombSectGob,99-21'!C13/42</f>
        <v>6690.3809523809523</v>
      </c>
      <c r="D13" s="349">
        <f>'C-SH-5A ConsCombSectGob,99-21'!D13/42</f>
        <v>2205.0476190476193</v>
      </c>
      <c r="E13" s="350">
        <f>'C-SH-5A ConsCombSectGob,99-21'!E13/42</f>
        <v>3910.7380952380954</v>
      </c>
      <c r="F13" s="350">
        <f>'C-SH-5A ConsCombSectGob,99-21'!F13/42</f>
        <v>3245.3571428571427</v>
      </c>
      <c r="G13" s="350">
        <f>'C-SH-5A ConsCombSectGob,99-21'!G13/42</f>
        <v>3955.3571428571427</v>
      </c>
      <c r="H13" s="350">
        <f>'C-SH-5A ConsCombSectGob,99-21'!H13/42</f>
        <v>4546.8095238095239</v>
      </c>
      <c r="I13" s="350">
        <f>'C-SH-5A ConsCombSectGob,99-21'!I13/42</f>
        <v>2966.0952380952381</v>
      </c>
      <c r="J13" s="350">
        <f>'C-SH-5A ConsCombSectGob,99-21'!J13/42</f>
        <v>2315.9285714285716</v>
      </c>
      <c r="K13" s="350">
        <f>'C-SH-5A ConsCombSectGob,99-21'!K13/42</f>
        <v>2416.3333333333335</v>
      </c>
      <c r="L13" s="350">
        <f>'C-SH-5A ConsCombSectGob,99-21'!L13/42</f>
        <v>2835.4523809523807</v>
      </c>
      <c r="M13" s="350">
        <f>'C-SH-5A ConsCombSectGob,99-21'!M13/42</f>
        <v>5221.5952380952385</v>
      </c>
      <c r="N13" s="350">
        <f>'C-SH-5A ConsCombSectGob,99-21'!N13/42</f>
        <v>5622.7857142857147</v>
      </c>
      <c r="O13" s="350">
        <f>'C-SH-5A ConsCombSectGob,99-21'!O13/42</f>
        <v>6992.1259523809522</v>
      </c>
      <c r="P13" s="350">
        <f>'C-SH-5A ConsCombSectGob,99-21'!P13/42</f>
        <v>7738.3095238095239</v>
      </c>
      <c r="Q13" s="350">
        <f>'C-SH-5A ConsCombSectGob,99-21'!Q13/42</f>
        <v>8504.1428571428569</v>
      </c>
      <c r="R13" s="350">
        <f>'C-SH-5A ConsCombSectGob,99-21'!R13/42</f>
        <v>9852.5952380952385</v>
      </c>
      <c r="S13" s="350">
        <f>'C-SH-5A ConsCombSectGob,99-21'!S13/42</f>
        <v>9391.1190476190477</v>
      </c>
      <c r="T13" s="350">
        <f>'C-SH-5A ConsCombSectGob,99-21'!T13/42</f>
        <v>8684.3571428571431</v>
      </c>
      <c r="U13" s="350">
        <f>'C-SH-5A ConsCombSectGob,99-21'!U13/42</f>
        <v>8610.3333333333339</v>
      </c>
      <c r="V13" s="350">
        <f>'C-SH-5A ConsCombSectGob,99-21'!V13/42</f>
        <v>9088.7142857142862</v>
      </c>
      <c r="W13" s="350">
        <f>'C-SH-5A ConsCombSectGob,99-21'!W13/42</f>
        <v>9168.0476190476184</v>
      </c>
      <c r="X13" s="350">
        <f>'C-SH-5A ConsCombSectGob,99-21'!X13/42</f>
        <v>5400.8809523809523</v>
      </c>
      <c r="Y13" s="350">
        <f>'C-SH-5A ConsCombSectGob,99-21'!Y13/42</f>
        <v>7952.6190476190477</v>
      </c>
      <c r="Z13" s="457">
        <f>RATE(-22,,-Y13,C13)</f>
        <v>7.8868705368923871E-3</v>
      </c>
      <c r="AH13" s="13"/>
      <c r="AI13" s="79"/>
      <c r="AJ13" s="79"/>
      <c r="AK13" s="80"/>
    </row>
    <row r="14" spans="2:37" ht="15" customHeight="1" x14ac:dyDescent="0.25">
      <c r="B14" s="577" t="s">
        <v>90</v>
      </c>
      <c r="C14" s="361">
        <f>'C-SH-5A ConsCombSectGob,99-21'!C14/42</f>
        <v>2825.5</v>
      </c>
      <c r="D14" s="349">
        <f>'C-SH-5A ConsCombSectGob,99-21'!D14/42</f>
        <v>4221.0476190476193</v>
      </c>
      <c r="E14" s="350">
        <f>'C-SH-5A ConsCombSectGob,99-21'!E14/42</f>
        <v>4347.3809523809523</v>
      </c>
      <c r="F14" s="350">
        <f>'C-SH-5A ConsCombSectGob,99-21'!F14/42</f>
        <v>4411.2142857142853</v>
      </c>
      <c r="G14" s="350">
        <f>'C-SH-5A ConsCombSectGob,99-21'!G14/42</f>
        <v>4403.3095238095239</v>
      </c>
      <c r="H14" s="350">
        <f>'C-SH-5A ConsCombSectGob,99-21'!H14/42</f>
        <v>3810.2142857142858</v>
      </c>
      <c r="I14" s="350">
        <f>'C-SH-5A ConsCombSectGob,99-21'!I14/42</f>
        <v>2858.4047619047619</v>
      </c>
      <c r="J14" s="350">
        <f>'C-SH-5A ConsCombSectGob,99-21'!J14/42</f>
        <v>3418.2380952380954</v>
      </c>
      <c r="K14" s="350">
        <f>'C-SH-5A ConsCombSectGob,99-21'!K14/42</f>
        <v>2817.4285714285716</v>
      </c>
      <c r="L14" s="350">
        <f>'C-SH-5A ConsCombSectGob,99-21'!L14/42</f>
        <v>2665.7380952380954</v>
      </c>
      <c r="M14" s="350">
        <f>'C-SH-5A ConsCombSectGob,99-21'!M14/42</f>
        <v>4955.2142857142853</v>
      </c>
      <c r="N14" s="350">
        <f>'C-SH-5A ConsCombSectGob,99-21'!N14/42</f>
        <v>5946.833333333333</v>
      </c>
      <c r="O14" s="350">
        <f>'C-SH-5A ConsCombSectGob,99-21'!O14/42</f>
        <v>7663.8988095238092</v>
      </c>
      <c r="P14" s="350">
        <f>'C-SH-5A ConsCombSectGob,99-21'!P14/42</f>
        <v>9326.9761904761908</v>
      </c>
      <c r="Q14" s="350">
        <f>'C-SH-5A ConsCombSectGob,99-21'!Q14/42</f>
        <v>9613.9523809523816</v>
      </c>
      <c r="R14" s="350">
        <f>'C-SH-5A ConsCombSectGob,99-21'!R14/42</f>
        <v>9114.9047619047615</v>
      </c>
      <c r="S14" s="350">
        <f>'C-SH-5A ConsCombSectGob,99-21'!S14/42</f>
        <v>8398.7380952380954</v>
      </c>
      <c r="T14" s="350">
        <f>'C-SH-5A ConsCombSectGob,99-21'!T14/42</f>
        <v>8900.7619047619046</v>
      </c>
      <c r="U14" s="350">
        <f>'C-SH-5A ConsCombSectGob,99-21'!U14/42</f>
        <v>9408.0714285714294</v>
      </c>
      <c r="V14" s="350">
        <f>'C-SH-5A ConsCombSectGob,99-21'!V14/42</f>
        <v>9328.0952380952385</v>
      </c>
      <c r="W14" s="350">
        <f>'C-SH-5A ConsCombSectGob,99-21'!W14/42</f>
        <v>9365.3571428571431</v>
      </c>
      <c r="X14" s="350">
        <f>'C-SH-5A ConsCombSectGob,99-21'!X14/42</f>
        <v>6415.0714285714284</v>
      </c>
      <c r="Y14" s="350">
        <f>'C-SH-5A ConsCombSectGob,99-21'!Y14/42</f>
        <v>7639.1428571428569</v>
      </c>
      <c r="Z14" s="457">
        <f t="shared" ref="Z14:Z16" si="2">RATE(-22,,-Y14,C14)</f>
        <v>4.6246600798681266E-2</v>
      </c>
      <c r="AH14" s="13"/>
      <c r="AI14" s="79"/>
      <c r="AJ14" s="79"/>
      <c r="AK14" s="80"/>
    </row>
    <row r="15" spans="2:37" ht="15" customHeight="1" x14ac:dyDescent="0.25">
      <c r="B15" s="577" t="s">
        <v>91</v>
      </c>
      <c r="C15" s="361">
        <f>'C-SH-5A ConsCombSectGob,99-21'!C15/42</f>
        <v>7456.666666666667</v>
      </c>
      <c r="D15" s="349">
        <f>'C-SH-5A ConsCombSectGob,99-21'!D15/42</f>
        <v>3719.3333333333335</v>
      </c>
      <c r="E15" s="350">
        <f>'C-SH-5A ConsCombSectGob,99-21'!E15/42</f>
        <v>4549.4047619047615</v>
      </c>
      <c r="F15" s="350">
        <f>'C-SH-5A ConsCombSectGob,99-21'!F15/42</f>
        <v>3435.4047619047619</v>
      </c>
      <c r="G15" s="350">
        <f>'C-SH-5A ConsCombSectGob,99-21'!G15/42</f>
        <v>3475.0714285714284</v>
      </c>
      <c r="H15" s="350">
        <f>'C-SH-5A ConsCombSectGob,99-21'!H15/42</f>
        <v>3240.8809523809523</v>
      </c>
      <c r="I15" s="350">
        <f>'C-SH-5A ConsCombSectGob,99-21'!I15/42</f>
        <v>2389.5714285714284</v>
      </c>
      <c r="J15" s="350">
        <f>'C-SH-5A ConsCombSectGob,99-21'!J15/42</f>
        <v>3379.4285714285716</v>
      </c>
      <c r="K15" s="350">
        <f>'C-SH-5A ConsCombSectGob,99-21'!K15/42</f>
        <v>2907.5</v>
      </c>
      <c r="L15" s="350">
        <f>'C-SH-5A ConsCombSectGob,99-21'!L15/42</f>
        <v>3191.5476190476193</v>
      </c>
      <c r="M15" s="350">
        <f>'C-SH-5A ConsCombSectGob,99-21'!M15/42</f>
        <v>5195.2857142857147</v>
      </c>
      <c r="N15" s="350">
        <f>'C-SH-5A ConsCombSectGob,99-21'!N15/42</f>
        <v>5625.7619047619046</v>
      </c>
      <c r="O15" s="350">
        <f>'C-SH-5A ConsCombSectGob,99-21'!O15/42</f>
        <v>7996.0364285714277</v>
      </c>
      <c r="P15" s="350">
        <f>'C-SH-5A ConsCombSectGob,99-21'!P15/42</f>
        <v>8957.8809523809523</v>
      </c>
      <c r="Q15" s="350">
        <f>'C-SH-5A ConsCombSectGob,99-21'!Q15/42</f>
        <v>9266.6666666666661</v>
      </c>
      <c r="R15" s="350">
        <f>'C-SH-5A ConsCombSectGob,99-21'!R15/42</f>
        <v>8581.3809523809523</v>
      </c>
      <c r="S15" s="350">
        <f>'C-SH-5A ConsCombSectGob,99-21'!S15/42</f>
        <v>8888.0830952380948</v>
      </c>
      <c r="T15" s="350">
        <f>'C-SH-5A ConsCombSectGob,99-21'!T15/42</f>
        <v>8732.3571428571431</v>
      </c>
      <c r="U15" s="350">
        <f>'C-SH-5A ConsCombSectGob,99-21'!U15/42</f>
        <v>9185.9047619047615</v>
      </c>
      <c r="V15" s="350">
        <f>'C-SH-5A ConsCombSectGob,99-21'!V15/42</f>
        <v>8790.4761904761908</v>
      </c>
      <c r="W15" s="350">
        <f>'C-SH-5A ConsCombSectGob,99-21'!W15/42</f>
        <v>8255.3095238095229</v>
      </c>
      <c r="X15" s="350">
        <f>'C-SH-5A ConsCombSectGob,99-21'!X15/42</f>
        <v>6950.0476190476193</v>
      </c>
      <c r="Y15" s="350">
        <f>'C-SH-5A ConsCombSectGob,99-21'!Y15/42</f>
        <v>7855.5952380952385</v>
      </c>
      <c r="Z15" s="457">
        <f t="shared" si="2"/>
        <v>2.3717882614203473E-3</v>
      </c>
      <c r="AH15" s="13"/>
      <c r="AI15" s="79"/>
      <c r="AJ15" s="79"/>
      <c r="AK15" s="80"/>
    </row>
    <row r="16" spans="2:37" ht="15" customHeight="1" x14ac:dyDescent="0.25">
      <c r="B16" s="570" t="s">
        <v>116</v>
      </c>
      <c r="C16" s="373">
        <f t="shared" ref="C16:R16" si="3">SUM(C13:C15)</f>
        <v>16972.547619047618</v>
      </c>
      <c r="D16" s="363">
        <f t="shared" si="3"/>
        <v>10145.428571428572</v>
      </c>
      <c r="E16" s="363">
        <f t="shared" si="3"/>
        <v>12807.523809523809</v>
      </c>
      <c r="F16" s="363">
        <f t="shared" si="3"/>
        <v>11091.976190476189</v>
      </c>
      <c r="G16" s="363">
        <f t="shared" si="3"/>
        <v>11833.738095238095</v>
      </c>
      <c r="H16" s="363">
        <f t="shared" si="3"/>
        <v>11597.904761904761</v>
      </c>
      <c r="I16" s="363">
        <f t="shared" si="3"/>
        <v>8214.0714285714275</v>
      </c>
      <c r="J16" s="363">
        <f t="shared" si="3"/>
        <v>9113.5952380952385</v>
      </c>
      <c r="K16" s="363">
        <f t="shared" si="3"/>
        <v>8141.2619047619046</v>
      </c>
      <c r="L16" s="363">
        <f t="shared" si="3"/>
        <v>8692.7380952380954</v>
      </c>
      <c r="M16" s="363">
        <f t="shared" si="3"/>
        <v>15372.095238095237</v>
      </c>
      <c r="N16" s="363">
        <f t="shared" si="3"/>
        <v>17195.380952380954</v>
      </c>
      <c r="O16" s="363">
        <f t="shared" si="3"/>
        <v>22652.06119047619</v>
      </c>
      <c r="P16" s="363">
        <f t="shared" si="3"/>
        <v>26023.166666666664</v>
      </c>
      <c r="Q16" s="363">
        <f t="shared" si="3"/>
        <v>27384.761904761901</v>
      </c>
      <c r="R16" s="363">
        <f t="shared" si="3"/>
        <v>27548.880952380954</v>
      </c>
      <c r="S16" s="364">
        <f>'C-SH-5A ConsCombSectGob,99-21'!S16/42</f>
        <v>26677.940238095238</v>
      </c>
      <c r="T16" s="364">
        <f>'C-SH-5A ConsCombSectGob,99-21'!T16/42</f>
        <v>26317.476190476191</v>
      </c>
      <c r="U16" s="364">
        <f>'C-SH-5A ConsCombSectGob,99-21'!U16/42</f>
        <v>27204.309523809523</v>
      </c>
      <c r="V16" s="364">
        <f>'C-SH-5A ConsCombSectGob,99-21'!V16/42</f>
        <v>27207.285714285714</v>
      </c>
      <c r="W16" s="364">
        <f>'C-SH-5A ConsCombSectGob,99-21'!W16/42</f>
        <v>26788.714285714286</v>
      </c>
      <c r="X16" s="364">
        <f>'C-SH-5A ConsCombSectGob,99-21'!X16/42</f>
        <v>18766</v>
      </c>
      <c r="Y16" s="364">
        <f>'C-SH-5A ConsCombSectGob,99-21'!Y16/42</f>
        <v>23447.357142857141</v>
      </c>
      <c r="Z16" s="458">
        <f t="shared" si="2"/>
        <v>1.4797533187918111E-2</v>
      </c>
      <c r="AH16" s="13"/>
      <c r="AI16" s="81"/>
      <c r="AJ16" s="81"/>
      <c r="AK16" s="82"/>
    </row>
    <row r="17" spans="2:37" ht="15" customHeight="1" x14ac:dyDescent="0.25">
      <c r="B17" s="577"/>
      <c r="C17" s="361"/>
      <c r="D17" s="349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181"/>
      <c r="AH17" s="13"/>
      <c r="AI17" s="79"/>
      <c r="AJ17" s="79"/>
      <c r="AK17" s="80"/>
    </row>
    <row r="18" spans="2:37" ht="15" customHeight="1" x14ac:dyDescent="0.25">
      <c r="B18" s="577" t="s">
        <v>93</v>
      </c>
      <c r="C18" s="361">
        <f>'C-SH-5A ConsCombSectGob,99-21'!C18/42</f>
        <v>5431.0952380952385</v>
      </c>
      <c r="D18" s="349">
        <f>'C-SH-5A ConsCombSectGob,99-21'!D18/42</f>
        <v>4363.4761904761908</v>
      </c>
      <c r="E18" s="350">
        <f>'C-SH-5A ConsCombSectGob,99-21'!E18/42</f>
        <v>5132.6190476190477</v>
      </c>
      <c r="F18" s="350">
        <f>'C-SH-5A ConsCombSectGob,99-21'!F18/42</f>
        <v>4025.3809523809523</v>
      </c>
      <c r="G18" s="350">
        <f>'C-SH-5A ConsCombSectGob,99-21'!G18/42</f>
        <v>4571.4761904761908</v>
      </c>
      <c r="H18" s="350">
        <f>'C-SH-5A ConsCombSectGob,99-21'!H18/42</f>
        <v>3883.8333333333335</v>
      </c>
      <c r="I18" s="350">
        <f>'C-SH-5A ConsCombSectGob,99-21'!I18/42</f>
        <v>2873.4761904761904</v>
      </c>
      <c r="J18" s="350">
        <f>'C-SH-5A ConsCombSectGob,99-21'!J18/42</f>
        <v>2896.4523809523807</v>
      </c>
      <c r="K18" s="350">
        <f>'C-SH-5A ConsCombSectGob,99-21'!K18/42</f>
        <v>3341.2857142857142</v>
      </c>
      <c r="L18" s="350">
        <f>'C-SH-5A ConsCombSectGob,99-21'!L18/42</f>
        <v>3477.8809523809523</v>
      </c>
      <c r="M18" s="350">
        <f>'C-SH-5A ConsCombSectGob,99-21'!M18/42</f>
        <v>4561.6190476190477</v>
      </c>
      <c r="N18" s="350">
        <f>'C-SH-5A ConsCombSectGob,99-21'!N18/42</f>
        <v>5891.8571428571431</v>
      </c>
      <c r="O18" s="350">
        <f>'C-SH-5A ConsCombSectGob,99-21'!O18/42</f>
        <v>8370.7657142857151</v>
      </c>
      <c r="P18" s="350">
        <f>'C-SH-5A ConsCombSectGob,99-21'!P18/42</f>
        <v>9830.3333333333339</v>
      </c>
      <c r="Q18" s="350">
        <f>'C-SH-5A ConsCombSectGob,99-21'!Q18/42</f>
        <v>10214.761904761905</v>
      </c>
      <c r="R18" s="350">
        <f>'C-SH-5A ConsCombSectGob,99-21'!R18/42</f>
        <v>9140.8095238095229</v>
      </c>
      <c r="S18" s="350">
        <f>'C-SH-5A ConsCombSectGob,99-21'!S18/42</f>
        <v>9062.9592857142852</v>
      </c>
      <c r="T18" s="350">
        <f>'C-SH-5A ConsCombSectGob,99-21'!T18/42</f>
        <v>9010.4761904761908</v>
      </c>
      <c r="U18" s="350">
        <f>'C-SH-5A ConsCombSectGob,99-21'!U18/42</f>
        <v>9397.0238095238092</v>
      </c>
      <c r="V18" s="350">
        <f>'C-SH-5A ConsCombSectGob,99-21'!V18/42</f>
        <v>9193.5238095238092</v>
      </c>
      <c r="W18" s="350">
        <f>'C-SH-5A ConsCombSectGob,99-21'!W18/42</f>
        <v>8376.3095238095229</v>
      </c>
      <c r="X18" s="350">
        <f>'C-SH-5A ConsCombSectGob,99-21'!X18/42</f>
        <v>7771.3809523809523</v>
      </c>
      <c r="Y18" s="350">
        <f>'C-SH-5A ConsCombSectGob,99-21'!Y18/42</f>
        <v>7776.3809523809523</v>
      </c>
      <c r="Z18" s="457">
        <f>RATE(-22,,-Y18,C18)</f>
        <v>1.6449751578066656E-2</v>
      </c>
      <c r="AH18" s="13"/>
      <c r="AI18" s="79"/>
      <c r="AJ18" s="79"/>
      <c r="AK18" s="80"/>
    </row>
    <row r="19" spans="2:37" ht="15" customHeight="1" x14ac:dyDescent="0.25">
      <c r="B19" s="577" t="s">
        <v>94</v>
      </c>
      <c r="C19" s="361">
        <f>'C-SH-5A ConsCombSectGob,99-21'!C19/42</f>
        <v>4954.8095238095239</v>
      </c>
      <c r="D19" s="349">
        <f>'C-SH-5A ConsCombSectGob,99-21'!D19/42</f>
        <v>5690.6428571428569</v>
      </c>
      <c r="E19" s="350">
        <f>'C-SH-5A ConsCombSectGob,99-21'!E19/42</f>
        <v>4192.1904761904761</v>
      </c>
      <c r="F19" s="350">
        <f>'C-SH-5A ConsCombSectGob,99-21'!F19/42</f>
        <v>3581.8095238095239</v>
      </c>
      <c r="G19" s="350">
        <f>'C-SH-5A ConsCombSectGob,99-21'!G19/42</f>
        <v>4344.7380952380954</v>
      </c>
      <c r="H19" s="350">
        <f>'C-SH-5A ConsCombSectGob,99-21'!H19/42</f>
        <v>3007.5952380952381</v>
      </c>
      <c r="I19" s="350">
        <f>'C-SH-5A ConsCombSectGob,99-21'!I19/42</f>
        <v>2940.8095238095239</v>
      </c>
      <c r="J19" s="350">
        <f>'C-SH-5A ConsCombSectGob,99-21'!J19/42</f>
        <v>3197.2857142857142</v>
      </c>
      <c r="K19" s="350">
        <f>'C-SH-5A ConsCombSectGob,99-21'!K19/42</f>
        <v>3847.5</v>
      </c>
      <c r="L19" s="350">
        <f>'C-SH-5A ConsCombSectGob,99-21'!L19/42</f>
        <v>3113.8095238095239</v>
      </c>
      <c r="M19" s="350">
        <f>'C-SH-5A ConsCombSectGob,99-21'!M19/42</f>
        <v>4843.9285714285716</v>
      </c>
      <c r="N19" s="350">
        <f>'C-SH-5A ConsCombSectGob,99-21'!N19/42</f>
        <v>5977</v>
      </c>
      <c r="O19" s="350">
        <f>'C-SH-5A ConsCombSectGob,99-21'!O19/42</f>
        <v>8418.8504761904751</v>
      </c>
      <c r="P19" s="350">
        <f>'C-SH-5A ConsCombSectGob,99-21'!P19/42</f>
        <v>1590.4761904761904</v>
      </c>
      <c r="Q19" s="350">
        <f>'C-SH-5A ConsCombSectGob,99-21'!Q19/42</f>
        <v>9976.3809523809523</v>
      </c>
      <c r="R19" s="350">
        <f>'C-SH-5A ConsCombSectGob,99-21'!R19/42</f>
        <v>8399.1428571428569</v>
      </c>
      <c r="S19" s="350">
        <f>'C-SH-5A ConsCombSectGob,99-21'!S19/42</f>
        <v>9317.6904761904771</v>
      </c>
      <c r="T19" s="350">
        <f>'C-SH-5A ConsCombSectGob,99-21'!T19/42</f>
        <v>9039.1904761904771</v>
      </c>
      <c r="U19" s="350">
        <f>'C-SH-5A ConsCombSectGob,99-21'!U19/42</f>
        <v>9117.7380952380954</v>
      </c>
      <c r="V19" s="350">
        <f>'C-SH-5A ConsCombSectGob,99-21'!V19/42</f>
        <v>9738.4285714285706</v>
      </c>
      <c r="W19" s="350">
        <f>'C-SH-5A ConsCombSectGob,99-21'!W19/42</f>
        <v>8575.6904761904771</v>
      </c>
      <c r="X19" s="350">
        <f>'C-SH-5A ConsCombSectGob,99-21'!X19/42</f>
        <v>7525.0476190476193</v>
      </c>
      <c r="Y19" s="350">
        <f>'C-SH-5A ConsCombSectGob,99-21'!Y19/42</f>
        <v>7823.5476190476193</v>
      </c>
      <c r="Z19" s="457">
        <f t="shared" ref="Z19:Z21" si="4">RATE(-22,,-Y19,C19)</f>
        <v>2.0979743726141271E-2</v>
      </c>
      <c r="AH19" s="13"/>
      <c r="AI19" s="79"/>
      <c r="AJ19" s="79"/>
      <c r="AK19" s="80"/>
    </row>
    <row r="20" spans="2:37" ht="15" customHeight="1" x14ac:dyDescent="0.25">
      <c r="B20" s="577" t="s">
        <v>101</v>
      </c>
      <c r="C20" s="361">
        <f>'C-SH-5A ConsCombSectGob,99-21'!C20/42</f>
        <v>6505.3809523809523</v>
      </c>
      <c r="D20" s="349">
        <f>'C-SH-5A ConsCombSectGob,99-21'!D20/42</f>
        <v>4052.8333333333335</v>
      </c>
      <c r="E20" s="350">
        <f>'C-SH-5A ConsCombSectGob,99-21'!E20/42</f>
        <v>2887.8333333333335</v>
      </c>
      <c r="F20" s="350">
        <f>'C-SH-5A ConsCombSectGob,99-21'!F20/42</f>
        <v>3604.0476190476193</v>
      </c>
      <c r="G20" s="350">
        <f>'C-SH-5A ConsCombSectGob,99-21'!G20/42</f>
        <v>4359.9523809523807</v>
      </c>
      <c r="H20" s="350">
        <f>'C-SH-5A ConsCombSectGob,99-21'!H20/42</f>
        <v>3320.5952380952381</v>
      </c>
      <c r="I20" s="350">
        <f>'C-SH-5A ConsCombSectGob,99-21'!I20/42</f>
        <v>3099.1428571428573</v>
      </c>
      <c r="J20" s="350">
        <f>'C-SH-5A ConsCombSectGob,99-21'!J20/42</f>
        <v>2576.7380952380954</v>
      </c>
      <c r="K20" s="350">
        <f>'C-SH-5A ConsCombSectGob,99-21'!K20/42</f>
        <v>2673.6904761904761</v>
      </c>
      <c r="L20" s="350">
        <f>'C-SH-5A ConsCombSectGob,99-21'!L20/42</f>
        <v>3215</v>
      </c>
      <c r="M20" s="350">
        <f>'C-SH-5A ConsCombSectGob,99-21'!M20/42</f>
        <v>4880.5952380952385</v>
      </c>
      <c r="N20" s="350">
        <f>'C-SH-5A ConsCombSectGob,99-21'!N20/42</f>
        <v>6029.4047619047615</v>
      </c>
      <c r="O20" s="350">
        <f>'C-SH-5A ConsCombSectGob,99-21'!O20/42</f>
        <v>8400.191190476191</v>
      </c>
      <c r="P20" s="350">
        <f>'C-SH-5A ConsCombSectGob,99-21'!P20/42</f>
        <v>8632.6666666666661</v>
      </c>
      <c r="Q20" s="350">
        <f>'C-SH-5A ConsCombSectGob,99-21'!Q20/42</f>
        <v>9707.4761904761908</v>
      </c>
      <c r="R20" s="350">
        <f>'C-SH-5A ConsCombSectGob,99-21'!R20/42</f>
        <v>9136</v>
      </c>
      <c r="S20" s="350">
        <f>'C-SH-5A ConsCombSectGob,99-21'!S20/42</f>
        <v>9147.9149999999991</v>
      </c>
      <c r="T20" s="350">
        <f>'C-SH-5A ConsCombSectGob,99-21'!T20/42</f>
        <v>8704.8571428571431</v>
      </c>
      <c r="U20" s="350">
        <f>'C-SH-5A ConsCombSectGob,99-21'!U20/42</f>
        <v>9194.4761904761908</v>
      </c>
      <c r="V20" s="350">
        <f>'C-SH-5A ConsCombSectGob,99-21'!V20/42</f>
        <v>8686.6190476190477</v>
      </c>
      <c r="W20" s="350">
        <f>'C-SH-5A ConsCombSectGob,99-21'!W20/42</f>
        <v>8391.9761904761908</v>
      </c>
      <c r="X20" s="350">
        <f>'C-SH-5A ConsCombSectGob,99-21'!X20/42</f>
        <v>8391.3095238095229</v>
      </c>
      <c r="Y20" s="350">
        <f>'C-SH-5A ConsCombSectGob,99-21'!Y20/42</f>
        <v>8021.5952380952385</v>
      </c>
      <c r="Z20" s="457">
        <f t="shared" si="4"/>
        <v>9.5685631344858708E-3</v>
      </c>
      <c r="AH20" s="13"/>
      <c r="AI20" s="79"/>
      <c r="AJ20" s="79"/>
      <c r="AK20" s="80"/>
    </row>
    <row r="21" spans="2:37" ht="15" customHeight="1" x14ac:dyDescent="0.25">
      <c r="B21" s="570" t="s">
        <v>117</v>
      </c>
      <c r="C21" s="373">
        <f t="shared" ref="C21:R21" si="5">SUM(C18:C20)</f>
        <v>16891.285714285717</v>
      </c>
      <c r="D21" s="363">
        <f t="shared" si="5"/>
        <v>14106.952380952382</v>
      </c>
      <c r="E21" s="363">
        <f t="shared" si="5"/>
        <v>12212.642857142857</v>
      </c>
      <c r="F21" s="363">
        <f t="shared" si="5"/>
        <v>11211.238095238095</v>
      </c>
      <c r="G21" s="363">
        <f t="shared" si="5"/>
        <v>13276.166666666668</v>
      </c>
      <c r="H21" s="363">
        <f t="shared" si="5"/>
        <v>10212.023809523809</v>
      </c>
      <c r="I21" s="363">
        <f t="shared" si="5"/>
        <v>8913.4285714285706</v>
      </c>
      <c r="J21" s="363">
        <f t="shared" si="5"/>
        <v>8670.4761904761908</v>
      </c>
      <c r="K21" s="363">
        <f t="shared" si="5"/>
        <v>9862.4761904761908</v>
      </c>
      <c r="L21" s="363">
        <f t="shared" si="5"/>
        <v>9806.6904761904771</v>
      </c>
      <c r="M21" s="363">
        <f t="shared" si="5"/>
        <v>14286.142857142857</v>
      </c>
      <c r="N21" s="363">
        <f t="shared" si="5"/>
        <v>17898.261904761905</v>
      </c>
      <c r="O21" s="363">
        <f t="shared" si="5"/>
        <v>25189.807380952381</v>
      </c>
      <c r="P21" s="363">
        <f t="shared" si="5"/>
        <v>20053.476190476191</v>
      </c>
      <c r="Q21" s="363">
        <f t="shared" si="5"/>
        <v>29898.619047619046</v>
      </c>
      <c r="R21" s="363">
        <f t="shared" si="5"/>
        <v>26675.952380952382</v>
      </c>
      <c r="S21" s="364">
        <f>'C-SH-5A ConsCombSectGob,99-21'!S21/42</f>
        <v>27528.56476190476</v>
      </c>
      <c r="T21" s="364">
        <f>'C-SH-5A ConsCombSectGob,99-21'!T21/42</f>
        <v>26754.523809523809</v>
      </c>
      <c r="U21" s="364">
        <f>'C-SH-5A ConsCombSectGob,99-21'!U21/42</f>
        <v>27709.238095238095</v>
      </c>
      <c r="V21" s="364">
        <f>'C-SH-5A ConsCombSectGob,99-21'!V21/42</f>
        <v>27618.571428571428</v>
      </c>
      <c r="W21" s="364">
        <f>'C-SH-5A ConsCombSectGob,99-21'!W21/42</f>
        <v>25343.976190476191</v>
      </c>
      <c r="X21" s="364">
        <f>'C-SH-5A ConsCombSectGob,99-21'!X21/42</f>
        <v>23687.738095238095</v>
      </c>
      <c r="Y21" s="364">
        <f>'C-SH-5A ConsCombSectGob,99-21'!Y21/42</f>
        <v>23621.523809523809</v>
      </c>
      <c r="Z21" s="458">
        <f t="shared" si="4"/>
        <v>1.5360434962063064E-2</v>
      </c>
      <c r="AH21" s="13"/>
      <c r="AI21" s="81"/>
      <c r="AJ21" s="81"/>
      <c r="AK21" s="82"/>
    </row>
    <row r="22" spans="2:37" ht="15" customHeight="1" x14ac:dyDescent="0.25">
      <c r="B22" s="577"/>
      <c r="C22" s="361"/>
      <c r="D22" s="349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181"/>
      <c r="AH22" s="13"/>
      <c r="AI22" s="79"/>
      <c r="AJ22" s="79"/>
      <c r="AK22" s="80"/>
    </row>
    <row r="23" spans="2:37" ht="15" customHeight="1" x14ac:dyDescent="0.25">
      <c r="B23" s="577" t="s">
        <v>95</v>
      </c>
      <c r="C23" s="361">
        <f>'C-SH-5A ConsCombSectGob,99-21'!C23/42</f>
        <v>5531.666666666667</v>
      </c>
      <c r="D23" s="349">
        <f>'C-SH-5A ConsCombSectGob,99-21'!D23/42</f>
        <v>4465.3809523809523</v>
      </c>
      <c r="E23" s="350">
        <f>'C-SH-5A ConsCombSectGob,99-21'!E23/42</f>
        <v>4004.3571428571427</v>
      </c>
      <c r="F23" s="350">
        <f>'C-SH-5A ConsCombSectGob,99-21'!F23/42</f>
        <v>3502.7380952380954</v>
      </c>
      <c r="G23" s="350">
        <f>'C-SH-5A ConsCombSectGob,99-21'!G23/42</f>
        <v>4874.4523809523807</v>
      </c>
      <c r="H23" s="350">
        <f>'C-SH-5A ConsCombSectGob,99-21'!H23/42</f>
        <v>3212.9285714285716</v>
      </c>
      <c r="I23" s="350">
        <f>'C-SH-5A ConsCombSectGob,99-21'!I23/42</f>
        <v>3297.9761904761904</v>
      </c>
      <c r="J23" s="350">
        <f>'C-SH-5A ConsCombSectGob,99-21'!J23/42</f>
        <v>3387.7857142857142</v>
      </c>
      <c r="K23" s="350">
        <f>'C-SH-5A ConsCombSectGob,99-21'!K23/42</f>
        <v>3150.7142857142858</v>
      </c>
      <c r="L23" s="350">
        <f>'C-SH-5A ConsCombSectGob,99-21'!L23/42</f>
        <v>3842</v>
      </c>
      <c r="M23" s="350">
        <f>'C-SH-5A ConsCombSectGob,99-21'!M23/42</f>
        <v>3944.2619047619046</v>
      </c>
      <c r="N23" s="350">
        <f>'C-SH-5A ConsCombSectGob,99-21'!N23/42</f>
        <v>6189.4285714285716</v>
      </c>
      <c r="O23" s="350">
        <f>'C-SH-5A ConsCombSectGob,99-21'!O23/42</f>
        <v>8459.8857142857141</v>
      </c>
      <c r="P23" s="350">
        <f>'C-SH-5A ConsCombSectGob,99-21'!P23/42</f>
        <v>9391.5714285714294</v>
      </c>
      <c r="Q23" s="350">
        <f>'C-SH-5A ConsCombSectGob,99-21'!Q23/42</f>
        <v>9821.1190476190477</v>
      </c>
      <c r="R23" s="350">
        <f>'C-SH-5A ConsCombSectGob,99-21'!R23/42</f>
        <v>9870.4761904761908</v>
      </c>
      <c r="S23" s="350">
        <f>'C-SH-5A ConsCombSectGob,99-21'!S23/42</f>
        <v>10456.01</v>
      </c>
      <c r="T23" s="350">
        <f>'C-SH-5A ConsCombSectGob,99-21'!T23/42</f>
        <v>9459.4761904761908</v>
      </c>
      <c r="U23" s="350">
        <f>'C-SH-5A ConsCombSectGob,99-21'!U23/42</f>
        <v>9047.4761904761908</v>
      </c>
      <c r="V23" s="350">
        <f>'C-SH-5A ConsCombSectGob,99-21'!V23/42</f>
        <v>9997.4761904761908</v>
      </c>
      <c r="W23" s="350">
        <f>'C-SH-5A ConsCombSectGob,99-21'!W23/42</f>
        <v>9392.3095238095229</v>
      </c>
      <c r="X23" s="350">
        <f>'C-SH-5A ConsCombSectGob,99-21'!X23/42</f>
        <v>8348.7857142857138</v>
      </c>
      <c r="Y23" s="350">
        <f>'C-SH-5A ConsCombSectGob,99-21'!Y23/42</f>
        <v>8605.1428571428569</v>
      </c>
      <c r="Z23" s="457">
        <f>RATE(-22,,-Y23,C23)</f>
        <v>2.0288101390216799E-2</v>
      </c>
      <c r="AH23" s="13"/>
      <c r="AI23" s="79"/>
      <c r="AJ23" s="79"/>
      <c r="AK23" s="80"/>
    </row>
    <row r="24" spans="2:37" ht="15" customHeight="1" x14ac:dyDescent="0.25">
      <c r="B24" s="577" t="s">
        <v>96</v>
      </c>
      <c r="C24" s="361">
        <f>'C-SH-5A ConsCombSectGob,99-21'!C24/42</f>
        <v>3890.6428571428573</v>
      </c>
      <c r="D24" s="349">
        <f>'C-SH-5A ConsCombSectGob,99-21'!D24/42</f>
        <v>5048.833333333333</v>
      </c>
      <c r="E24" s="350">
        <f>'C-SH-5A ConsCombSectGob,99-21'!E24/42</f>
        <v>4777.4047619047615</v>
      </c>
      <c r="F24" s="350">
        <f>'C-SH-5A ConsCombSectGob,99-21'!F24/42</f>
        <v>4301</v>
      </c>
      <c r="G24" s="350">
        <f>'C-SH-5A ConsCombSectGob,99-21'!G24/42</f>
        <v>3922.3571428571427</v>
      </c>
      <c r="H24" s="350">
        <f>'C-SH-5A ConsCombSectGob,99-21'!H24/42</f>
        <v>2848.6190476190477</v>
      </c>
      <c r="I24" s="350">
        <f>'C-SH-5A ConsCombSectGob,99-21'!I24/42</f>
        <v>2404.2142857142858</v>
      </c>
      <c r="J24" s="350">
        <f>'C-SH-5A ConsCombSectGob,99-21'!J24/42</f>
        <v>2940.1190476190477</v>
      </c>
      <c r="K24" s="350">
        <f>'C-SH-5A ConsCombSectGob,99-21'!K24/42</f>
        <v>2525.5714285714284</v>
      </c>
      <c r="L24" s="350">
        <f>'C-SH-5A ConsCombSectGob,99-21'!L24/42</f>
        <v>2549.0238095238096</v>
      </c>
      <c r="M24" s="350">
        <f>'C-SH-5A ConsCombSectGob,99-21'!M24/42</f>
        <v>3651</v>
      </c>
      <c r="N24" s="350">
        <f>'C-SH-5A ConsCombSectGob,99-21'!N24/42</f>
        <v>5605.3809523809523</v>
      </c>
      <c r="O24" s="350">
        <f>'C-SH-5A ConsCombSectGob,99-21'!O24/42</f>
        <v>7319.2778571428571</v>
      </c>
      <c r="P24" s="350">
        <f>'C-SH-5A ConsCombSectGob,99-21'!P24/42</f>
        <v>8975.9761904761908</v>
      </c>
      <c r="Q24" s="350">
        <f>'C-SH-5A ConsCombSectGob,99-21'!Q24/42</f>
        <v>8939.1428571428569</v>
      </c>
      <c r="R24" s="350">
        <f>'C-SH-5A ConsCombSectGob,99-21'!R24/42</f>
        <v>8543.7380952380954</v>
      </c>
      <c r="S24" s="350">
        <f>'C-SH-5A ConsCombSectGob,99-21'!S24/42</f>
        <v>8543.9385714285709</v>
      </c>
      <c r="T24" s="350">
        <f>'C-SH-5A ConsCombSectGob,99-21'!T24/42</f>
        <v>8268.3095238095229</v>
      </c>
      <c r="U24" s="350">
        <f>'C-SH-5A ConsCombSectGob,99-21'!U24/42</f>
        <v>8549.8571428571431</v>
      </c>
      <c r="V24" s="350">
        <f>'C-SH-5A ConsCombSectGob,99-21'!V24/42</f>
        <v>9065.3571428571431</v>
      </c>
      <c r="W24" s="350">
        <f>'C-SH-5A ConsCombSectGob,99-21'!W24/42</f>
        <v>7975.5238095238092</v>
      </c>
      <c r="X24" s="350">
        <f>'C-SH-5A ConsCombSectGob,99-21'!X24/42</f>
        <v>7151.5238095238092</v>
      </c>
      <c r="Y24" s="350">
        <f>'C-SH-5A ConsCombSectGob,99-21'!Y24/42</f>
        <v>7376.5714285714284</v>
      </c>
      <c r="Z24" s="457">
        <f t="shared" ref="Z24:Z26" si="6">RATE(-22,,-Y24,C24)</f>
        <v>2.9505760865143057E-2</v>
      </c>
      <c r="AH24" s="13"/>
      <c r="AI24" s="79"/>
      <c r="AJ24" s="79"/>
      <c r="AK24" s="80"/>
    </row>
    <row r="25" spans="2:37" ht="15" customHeight="1" x14ac:dyDescent="0.25">
      <c r="B25" s="577" t="s">
        <v>97</v>
      </c>
      <c r="C25" s="361">
        <f>'C-SH-5A ConsCombSectGob,99-21'!C25/42</f>
        <v>7028.1904761904761</v>
      </c>
      <c r="D25" s="349">
        <f>'C-SH-5A ConsCombSectGob,99-21'!D25/42</f>
        <v>6081.0714285714284</v>
      </c>
      <c r="E25" s="350">
        <f>'C-SH-5A ConsCombSectGob,99-21'!E25/42</f>
        <v>3360.7857142857142</v>
      </c>
      <c r="F25" s="350">
        <f>'C-SH-5A ConsCombSectGob,99-21'!F25/42</f>
        <v>3781.3571428571427</v>
      </c>
      <c r="G25" s="350">
        <f>'C-SH-5A ConsCombSectGob,99-21'!G25/42</f>
        <v>4380.8095238095239</v>
      </c>
      <c r="H25" s="350">
        <f>'C-SH-5A ConsCombSectGob,99-21'!H25/42</f>
        <v>3380.5714285714284</v>
      </c>
      <c r="I25" s="350">
        <f>'C-SH-5A ConsCombSectGob,99-21'!I25/42</f>
        <v>3523.4761904761904</v>
      </c>
      <c r="J25" s="350">
        <f>'C-SH-5A ConsCombSectGob,99-21'!J25/42</f>
        <v>2889.0476190476193</v>
      </c>
      <c r="K25" s="350">
        <f>'C-SH-5A ConsCombSectGob,99-21'!K25/42</f>
        <v>2681.9047619047619</v>
      </c>
      <c r="L25" s="350">
        <f>'C-SH-5A ConsCombSectGob,99-21'!L25/42</f>
        <v>2851.1190476190477</v>
      </c>
      <c r="M25" s="350">
        <f>'C-SH-5A ConsCombSectGob,99-21'!M25/42</f>
        <v>4111.2380952380954</v>
      </c>
      <c r="N25" s="350">
        <f>'C-SH-5A ConsCombSectGob,99-21'!N25/42</f>
        <v>5785.0952380952385</v>
      </c>
      <c r="O25" s="350">
        <f>'C-SH-5A ConsCombSectGob,99-21'!O25/42</f>
        <v>8202.5580952380951</v>
      </c>
      <c r="P25" s="350">
        <f>'C-SH-5A ConsCombSectGob,99-21'!P25/42</f>
        <v>9653.9761904761908</v>
      </c>
      <c r="Q25" s="350">
        <f>'C-SH-5A ConsCombSectGob,99-21'!Q25/42</f>
        <v>9067.2814285714285</v>
      </c>
      <c r="R25" s="350">
        <f>'C-SH-5A ConsCombSectGob,99-21'!R25/42</f>
        <v>9318.4047619047615</v>
      </c>
      <c r="S25" s="350">
        <f>'C-SH-5A ConsCombSectGob,99-21'!S25/42</f>
        <v>9528</v>
      </c>
      <c r="T25" s="350">
        <f>'C-SH-5A ConsCombSectGob,99-21'!T25/42</f>
        <v>8724.2142857142862</v>
      </c>
      <c r="U25" s="350">
        <f>'C-SH-5A ConsCombSectGob,99-21'!U25/42</f>
        <v>8494.3095238095229</v>
      </c>
      <c r="V25" s="350">
        <f>'C-SH-5A ConsCombSectGob,99-21'!V25/42</f>
        <v>8726.6428571428569</v>
      </c>
      <c r="W25" s="350">
        <f>'C-SH-5A ConsCombSectGob,99-21'!W25/42</f>
        <v>8502.2857142857138</v>
      </c>
      <c r="X25" s="350">
        <f>'C-SH-5A ConsCombSectGob,99-21'!X25/42</f>
        <v>8028.1190476190477</v>
      </c>
      <c r="Y25" s="350">
        <f>'C-SH-5A ConsCombSectGob,99-21'!Y25/42</f>
        <v>8175.0952380952385</v>
      </c>
      <c r="Z25" s="457">
        <f t="shared" si="6"/>
        <v>6.8947095569809784E-3</v>
      </c>
      <c r="AH25" s="13"/>
      <c r="AI25" s="79"/>
      <c r="AJ25" s="79"/>
      <c r="AK25" s="80"/>
    </row>
    <row r="26" spans="2:37" ht="15" customHeight="1" x14ac:dyDescent="0.25">
      <c r="B26" s="570" t="s">
        <v>118</v>
      </c>
      <c r="C26" s="373">
        <f t="shared" ref="C26:R26" si="7">SUM(C23:C25)</f>
        <v>16450.5</v>
      </c>
      <c r="D26" s="363">
        <f t="shared" si="7"/>
        <v>15595.285714285714</v>
      </c>
      <c r="E26" s="363">
        <f t="shared" si="7"/>
        <v>12142.547619047618</v>
      </c>
      <c r="F26" s="363">
        <f t="shared" si="7"/>
        <v>11585.095238095239</v>
      </c>
      <c r="G26" s="363">
        <f t="shared" si="7"/>
        <v>13177.619047619046</v>
      </c>
      <c r="H26" s="363">
        <f t="shared" si="7"/>
        <v>9442.1190476190477</v>
      </c>
      <c r="I26" s="363">
        <f t="shared" si="7"/>
        <v>9225.6666666666661</v>
      </c>
      <c r="J26" s="363">
        <f t="shared" si="7"/>
        <v>9216.9523809523816</v>
      </c>
      <c r="K26" s="363">
        <f t="shared" si="7"/>
        <v>8358.1904761904752</v>
      </c>
      <c r="L26" s="363">
        <f t="shared" si="7"/>
        <v>9242.1428571428569</v>
      </c>
      <c r="M26" s="363">
        <f t="shared" si="7"/>
        <v>11706.5</v>
      </c>
      <c r="N26" s="363">
        <f t="shared" si="7"/>
        <v>17579.904761904763</v>
      </c>
      <c r="O26" s="363">
        <f t="shared" si="7"/>
        <v>23981.721666666665</v>
      </c>
      <c r="P26" s="363">
        <f t="shared" si="7"/>
        <v>28021.523809523809</v>
      </c>
      <c r="Q26" s="363">
        <f t="shared" si="7"/>
        <v>27827.543333333335</v>
      </c>
      <c r="R26" s="363">
        <f t="shared" si="7"/>
        <v>27732.619047619046</v>
      </c>
      <c r="S26" s="364">
        <f>'C-SH-5A ConsCombSectGob,99-21'!S26/42</f>
        <v>28527.948571428569</v>
      </c>
      <c r="T26" s="364">
        <f>'C-SH-5A ConsCombSectGob,99-21'!T26/42</f>
        <v>26452</v>
      </c>
      <c r="U26" s="364">
        <f>'C-SH-5A ConsCombSectGob,99-21'!U26/42</f>
        <v>26091.642857142859</v>
      </c>
      <c r="V26" s="364">
        <f>'C-SH-5A ConsCombSectGob,99-21'!V26/42</f>
        <v>27789.476190476191</v>
      </c>
      <c r="W26" s="364">
        <f>'C-SH-5A ConsCombSectGob,99-21'!W26/42</f>
        <v>25870.119047619046</v>
      </c>
      <c r="X26" s="364">
        <f>'C-SH-5A ConsCombSectGob,99-21'!X26/42</f>
        <v>23528.428571428572</v>
      </c>
      <c r="Y26" s="364">
        <f>'C-SH-5A ConsCombSectGob,99-21'!Y26/42</f>
        <v>24156.809523809523</v>
      </c>
      <c r="Z26" s="458">
        <f t="shared" si="6"/>
        <v>1.7617499958595975E-2</v>
      </c>
      <c r="AH26" s="13"/>
      <c r="AI26" s="81"/>
      <c r="AJ26" s="81"/>
      <c r="AK26" s="82"/>
    </row>
    <row r="27" spans="2:37" ht="15" customHeight="1" thickBot="1" x14ac:dyDescent="0.3">
      <c r="B27" s="585"/>
      <c r="C27" s="374"/>
      <c r="D27" s="353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658"/>
      <c r="AH27" s="13"/>
      <c r="AI27" s="79"/>
      <c r="AJ27" s="79"/>
      <c r="AK27" s="80"/>
    </row>
    <row r="28" spans="2:37" ht="15" customHeight="1" thickBot="1" x14ac:dyDescent="0.3">
      <c r="B28" s="557" t="s">
        <v>119</v>
      </c>
      <c r="C28" s="375">
        <f t="shared" ref="C28:L28" si="8">+C11+C16+C21+C26</f>
        <v>68856.809523809527</v>
      </c>
      <c r="D28" s="366">
        <f t="shared" si="8"/>
        <v>48978.309523809527</v>
      </c>
      <c r="E28" s="366">
        <f t="shared" si="8"/>
        <v>51416.261904761901</v>
      </c>
      <c r="F28" s="366">
        <f t="shared" si="8"/>
        <v>42406.833333333336</v>
      </c>
      <c r="G28" s="366">
        <f t="shared" si="8"/>
        <v>48546.261904761901</v>
      </c>
      <c r="H28" s="366">
        <f t="shared" si="8"/>
        <v>41777</v>
      </c>
      <c r="I28" s="366">
        <f t="shared" si="8"/>
        <v>33756.976190476184</v>
      </c>
      <c r="J28" s="366">
        <f t="shared" si="8"/>
        <v>35698.285714285717</v>
      </c>
      <c r="K28" s="366">
        <f t="shared" si="8"/>
        <v>36334.952380952382</v>
      </c>
      <c r="L28" s="366">
        <f t="shared" si="8"/>
        <v>34959.523809523809</v>
      </c>
      <c r="M28" s="366">
        <f t="shared" ref="M28:S28" si="9">+M11+M16+M21+M26</f>
        <v>51662</v>
      </c>
      <c r="N28" s="366">
        <f t="shared" si="9"/>
        <v>66546.738095238106</v>
      </c>
      <c r="O28" s="366">
        <f t="shared" si="9"/>
        <v>87498.129523809519</v>
      </c>
      <c r="P28" s="366">
        <f t="shared" si="9"/>
        <v>97227.309523809527</v>
      </c>
      <c r="Q28" s="366">
        <f t="shared" si="9"/>
        <v>99131.805238095229</v>
      </c>
      <c r="R28" s="366">
        <f t="shared" si="9"/>
        <v>108334.62404761906</v>
      </c>
      <c r="S28" s="366">
        <f t="shared" si="9"/>
        <v>108851.2630952381</v>
      </c>
      <c r="T28" s="366">
        <f t="shared" ref="T28:U28" si="10">+T11+T16+T21+T26</f>
        <v>105223.30952380953</v>
      </c>
      <c r="U28" s="366">
        <f t="shared" si="10"/>
        <v>107774.14285714286</v>
      </c>
      <c r="V28" s="366">
        <f t="shared" ref="V28:W28" si="11">+V11+V16+V21+V26</f>
        <v>108010.14285714284</v>
      </c>
      <c r="W28" s="366">
        <f t="shared" si="11"/>
        <v>103967.38095238095</v>
      </c>
      <c r="X28" s="366">
        <f t="shared" ref="X28:Y28" si="12">+X11+X16+X21+X26</f>
        <v>89855.404761904763</v>
      </c>
      <c r="Y28" s="366">
        <f t="shared" si="12"/>
        <v>94473.57142857142</v>
      </c>
      <c r="Z28" s="459">
        <f>RATE(-22,,-Y28,C28)</f>
        <v>1.448070797543909E-2</v>
      </c>
      <c r="AH28" s="13"/>
      <c r="AI28" s="81"/>
      <c r="AJ28" s="81"/>
      <c r="AK28" s="82"/>
    </row>
    <row r="29" spans="2:37" ht="15" customHeight="1" thickBot="1" x14ac:dyDescent="0.3"/>
    <row r="30" spans="2:37" ht="15" customHeight="1" x14ac:dyDescent="0.25">
      <c r="B30" s="922" t="s">
        <v>100</v>
      </c>
      <c r="C30" s="922" t="s">
        <v>76</v>
      </c>
      <c r="D30" s="933"/>
      <c r="E30" s="933"/>
      <c r="F30" s="933"/>
      <c r="G30" s="933"/>
      <c r="H30" s="933"/>
      <c r="I30" s="933"/>
      <c r="J30" s="933"/>
      <c r="K30" s="933"/>
      <c r="L30" s="933"/>
      <c r="M30" s="933"/>
      <c r="N30" s="933"/>
      <c r="O30" s="933"/>
      <c r="P30" s="933"/>
      <c r="Q30" s="933"/>
      <c r="R30" s="933"/>
      <c r="S30" s="933"/>
      <c r="T30" s="933"/>
      <c r="U30" s="933"/>
      <c r="V30" s="933"/>
      <c r="W30" s="933"/>
      <c r="X30" s="933"/>
      <c r="Y30" s="933"/>
      <c r="Z30" s="934"/>
    </row>
    <row r="31" spans="2:37" ht="15" customHeight="1" thickBot="1" x14ac:dyDescent="0.3">
      <c r="B31" s="932"/>
      <c r="C31" s="590">
        <v>1999</v>
      </c>
      <c r="D31" s="588">
        <v>2000</v>
      </c>
      <c r="E31" s="588">
        <v>2001</v>
      </c>
      <c r="F31" s="588">
        <v>2002</v>
      </c>
      <c r="G31" s="588">
        <v>2003</v>
      </c>
      <c r="H31" s="588">
        <v>2004</v>
      </c>
      <c r="I31" s="591">
        <v>2005</v>
      </c>
      <c r="J31" s="588">
        <v>2006</v>
      </c>
      <c r="K31" s="589">
        <v>2007</v>
      </c>
      <c r="L31" s="589">
        <v>2008</v>
      </c>
      <c r="M31" s="589">
        <v>2009</v>
      </c>
      <c r="N31" s="589">
        <v>2010</v>
      </c>
      <c r="O31" s="589">
        <v>2011</v>
      </c>
      <c r="P31" s="589">
        <v>2012</v>
      </c>
      <c r="Q31" s="589">
        <v>2013</v>
      </c>
      <c r="R31" s="589">
        <v>2014</v>
      </c>
      <c r="S31" s="589">
        <v>2015</v>
      </c>
      <c r="T31" s="733">
        <v>2016</v>
      </c>
      <c r="U31" s="756">
        <v>2017</v>
      </c>
      <c r="V31" s="769">
        <v>2018</v>
      </c>
      <c r="W31" s="788">
        <v>2019</v>
      </c>
      <c r="X31" s="805">
        <v>2020</v>
      </c>
      <c r="Y31" s="825">
        <v>2021</v>
      </c>
      <c r="Z31" s="552" t="s">
        <v>102</v>
      </c>
    </row>
    <row r="32" spans="2:37" ht="15" customHeight="1" x14ac:dyDescent="0.25">
      <c r="B32" s="574"/>
      <c r="C32" s="370"/>
      <c r="D32" s="371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174"/>
    </row>
    <row r="33" spans="2:26" ht="15" customHeight="1" x14ac:dyDescent="0.25">
      <c r="B33" s="577" t="s">
        <v>86</v>
      </c>
      <c r="C33" s="361">
        <f>'C-SH-5A ConsCombSectGob,99-21'!C33/42</f>
        <v>6547.9047619047615</v>
      </c>
      <c r="D33" s="349">
        <f>'C-SH-5A ConsCombSectGob,99-21'!D33/42</f>
        <v>6011.9523809523807</v>
      </c>
      <c r="E33" s="350">
        <f>'C-SH-5A ConsCombSectGob,99-21'!E33/42</f>
        <v>6442.7142857142853</v>
      </c>
      <c r="F33" s="350">
        <f>'C-SH-5A ConsCombSectGob,99-21'!F33/42</f>
        <v>5287.8095238095239</v>
      </c>
      <c r="G33" s="350">
        <f>'C-SH-5A ConsCombSectGob,99-21'!G33/42</f>
        <v>5806.166666666667</v>
      </c>
      <c r="H33" s="350">
        <f>'C-SH-5A ConsCombSectGob,99-21'!H33/42</f>
        <v>9153.3571428571431</v>
      </c>
      <c r="I33" s="350">
        <f>'C-SH-5A ConsCombSectGob,99-21'!I33/42</f>
        <v>11079.761904761905</v>
      </c>
      <c r="J33" s="350">
        <f>'C-SH-5A ConsCombSectGob,99-21'!J33/42</f>
        <v>17739.952380952382</v>
      </c>
      <c r="K33" s="350">
        <f>'C-SH-5A ConsCombSectGob,99-21'!K33/42</f>
        <v>10014.5</v>
      </c>
      <c r="L33" s="350">
        <f>'C-SH-5A ConsCombSectGob,99-21'!L33/42</f>
        <v>14217.309523809523</v>
      </c>
      <c r="M33" s="350">
        <f>'C-SH-5A ConsCombSectGob,99-21'!M33/42</f>
        <v>10708.642857142857</v>
      </c>
      <c r="N33" s="350">
        <f>'C-SH-5A ConsCombSectGob,99-21'!N33/42</f>
        <v>10668.523809523809</v>
      </c>
      <c r="O33" s="350">
        <f>'C-SH-5A ConsCombSectGob,99-21'!O33/42</f>
        <v>18259.190476190477</v>
      </c>
      <c r="P33" s="350">
        <f>'C-SH-5A ConsCombSectGob,99-21'!P33/42</f>
        <v>17694.023809523809</v>
      </c>
      <c r="Q33" s="350">
        <f>'C-SH-5A ConsCombSectGob,99-21'!Q33/42</f>
        <v>19593.642857142859</v>
      </c>
      <c r="R33" s="350">
        <f>'C-SH-5A ConsCombSectGob,99-21'!R33/42</f>
        <v>83299.833333333328</v>
      </c>
      <c r="S33" s="350">
        <f>'C-SH-5A ConsCombSectGob,99-21'!S33/42</f>
        <v>19000.333333333332</v>
      </c>
      <c r="T33" s="350">
        <f>'C-SH-5A ConsCombSectGob,99-21'!T33/42</f>
        <v>19360.047619047618</v>
      </c>
      <c r="U33" s="350">
        <f>'C-SH-5A ConsCombSectGob,99-21'!U33/42</f>
        <v>22825.833333333332</v>
      </c>
      <c r="V33" s="350">
        <f>'C-SH-5A ConsCombSectGob,99-21'!V33/42</f>
        <v>24113</v>
      </c>
      <c r="W33" s="350">
        <f>'C-SH-5A ConsCombSectGob,99-21'!W33/42</f>
        <v>50090.119047619046</v>
      </c>
      <c r="X33" s="350">
        <f>'C-SH-5A ConsCombSectGob,99-21'!X33/42</f>
        <v>46730.952380952382</v>
      </c>
      <c r="Y33" s="350">
        <f>'C-SH-5A ConsCombSectGob,99-21'!Y33/42</f>
        <v>37745.547619047618</v>
      </c>
      <c r="Z33" s="457">
        <f>RATE(-22,,-Y33,C33)</f>
        <v>8.287955315726761E-2</v>
      </c>
    </row>
    <row r="34" spans="2:26" ht="15" customHeight="1" x14ac:dyDescent="0.25">
      <c r="B34" s="577" t="s">
        <v>87</v>
      </c>
      <c r="C34" s="361">
        <f>'C-SH-5A ConsCombSectGob,99-21'!C34/42</f>
        <v>3199.9285714285716</v>
      </c>
      <c r="D34" s="349">
        <f>'C-SH-5A ConsCombSectGob,99-21'!D34/42</f>
        <v>2216.2380952380954</v>
      </c>
      <c r="E34" s="350">
        <f>'C-SH-5A ConsCombSectGob,99-21'!E34/42</f>
        <v>5828.166666666667</v>
      </c>
      <c r="F34" s="350">
        <f>'C-SH-5A ConsCombSectGob,99-21'!F34/42</f>
        <v>4627.5952380952385</v>
      </c>
      <c r="G34" s="350">
        <f>'C-SH-5A ConsCombSectGob,99-21'!G34/42</f>
        <v>4773.666666666667</v>
      </c>
      <c r="H34" s="350">
        <f>'C-SH-5A ConsCombSectGob,99-21'!H34/42</f>
        <v>9477.6904761904771</v>
      </c>
      <c r="I34" s="350">
        <f>'C-SH-5A ConsCombSectGob,99-21'!I34/42</f>
        <v>7739.1428571428569</v>
      </c>
      <c r="J34" s="350">
        <f>'C-SH-5A ConsCombSectGob,99-21'!J34/42</f>
        <v>26553.261904761905</v>
      </c>
      <c r="K34" s="350">
        <f>'C-SH-5A ConsCombSectGob,99-21'!K34/42</f>
        <v>9401.4047619047615</v>
      </c>
      <c r="L34" s="350">
        <f>'C-SH-5A ConsCombSectGob,99-21'!L34/42</f>
        <v>10166.023809523809</v>
      </c>
      <c r="M34" s="350">
        <f>'C-SH-5A ConsCombSectGob,99-21'!M34/42</f>
        <v>11317.690476190477</v>
      </c>
      <c r="N34" s="350">
        <f>'C-SH-5A ConsCombSectGob,99-21'!N34/42</f>
        <v>9328.5952380952385</v>
      </c>
      <c r="O34" s="350">
        <f>'C-SH-5A ConsCombSectGob,99-21'!O34/42</f>
        <v>17636.571428571428</v>
      </c>
      <c r="P34" s="350">
        <f>'C-SH-5A ConsCombSectGob,99-21'!P34/42</f>
        <v>17733.5</v>
      </c>
      <c r="Q34" s="350">
        <f>'C-SH-5A ConsCombSectGob,99-21'!Q34/42</f>
        <v>17082.928571428572</v>
      </c>
      <c r="R34" s="350">
        <f>'C-SH-5A ConsCombSectGob,99-21'!R34/42</f>
        <v>73031.859761904765</v>
      </c>
      <c r="S34" s="350">
        <f>'C-SH-5A ConsCombSectGob,99-21'!S34/42</f>
        <v>17381.714285714286</v>
      </c>
      <c r="T34" s="350">
        <f>'C-SH-5A ConsCombSectGob,99-21'!T34/42</f>
        <v>18822.809523809523</v>
      </c>
      <c r="U34" s="350">
        <f>'C-SH-5A ConsCombSectGob,99-21'!U34/42</f>
        <v>22579.523809523809</v>
      </c>
      <c r="V34" s="350">
        <f>'C-SH-5A ConsCombSectGob,99-21'!V34/42</f>
        <v>20807.595238095237</v>
      </c>
      <c r="W34" s="350">
        <f>'C-SH-5A ConsCombSectGob,99-21'!W34/42</f>
        <v>48707.095238095237</v>
      </c>
      <c r="X34" s="350">
        <f>'C-SH-5A ConsCombSectGob,99-21'!X34/42</f>
        <v>44242.690476190473</v>
      </c>
      <c r="Y34" s="350">
        <f>'C-SH-5A ConsCombSectGob,99-21'!Y34/42</f>
        <v>42691.5</v>
      </c>
      <c r="Z34" s="457">
        <f t="shared" ref="Z34:Z36" si="13">RATE(-22,,-Y34,C34)</f>
        <v>0.12498182447390722</v>
      </c>
    </row>
    <row r="35" spans="2:26" ht="15" customHeight="1" x14ac:dyDescent="0.25">
      <c r="B35" s="577" t="s">
        <v>88</v>
      </c>
      <c r="C35" s="361">
        <f>'C-SH-5A ConsCombSectGob,99-21'!C35/42</f>
        <v>10473.571428571429</v>
      </c>
      <c r="D35" s="349">
        <f>'C-SH-5A ConsCombSectGob,99-21'!D35/42</f>
        <v>1565.8571428571429</v>
      </c>
      <c r="E35" s="350">
        <f>'C-SH-5A ConsCombSectGob,99-21'!E35/42</f>
        <v>3349.9761904761904</v>
      </c>
      <c r="F35" s="350">
        <f>'C-SH-5A ConsCombSectGob,99-21'!F35/42</f>
        <v>3067.0476190476193</v>
      </c>
      <c r="G35" s="350">
        <f>'C-SH-5A ConsCombSectGob,99-21'!G35/42</f>
        <v>4501.4523809523807</v>
      </c>
      <c r="H35" s="350">
        <f>'C-SH-5A ConsCombSectGob,99-21'!H35/42</f>
        <v>11820.690476190477</v>
      </c>
      <c r="I35" s="350">
        <f>'C-SH-5A ConsCombSectGob,99-21'!I35/42</f>
        <v>8662.2142857142862</v>
      </c>
      <c r="J35" s="350">
        <f>'C-SH-5A ConsCombSectGob,99-21'!J35/42</f>
        <v>32430.738095238095</v>
      </c>
      <c r="K35" s="350">
        <f>'C-SH-5A ConsCombSectGob,99-21'!K35/42</f>
        <v>14602.023809523809</v>
      </c>
      <c r="L35" s="350">
        <f>'C-SH-5A ConsCombSectGob,99-21'!L35/42</f>
        <v>14132.285714285714</v>
      </c>
      <c r="M35" s="350">
        <f>'C-SH-5A ConsCombSectGob,99-21'!M35/42</f>
        <v>23162.833333333332</v>
      </c>
      <c r="N35" s="350">
        <f>'C-SH-5A ConsCombSectGob,99-21'!N35/42</f>
        <v>18371.547619047618</v>
      </c>
      <c r="O35" s="350">
        <f>'C-SH-5A ConsCombSectGob,99-21'!O35/42</f>
        <v>16806</v>
      </c>
      <c r="P35" s="350">
        <f>'C-SH-5A ConsCombSectGob,99-21'!P35/42</f>
        <v>18897.523809523809</v>
      </c>
      <c r="Q35" s="350">
        <f>'C-SH-5A ConsCombSectGob,99-21'!Q35/42</f>
        <v>4523.8095238095239</v>
      </c>
      <c r="R35" s="350">
        <f>'C-SH-5A ConsCombSectGob,99-21'!R35/42</f>
        <v>83248.357142857145</v>
      </c>
      <c r="S35" s="350">
        <f>'C-SH-5A ConsCombSectGob,99-21'!S35/42</f>
        <v>21033.261904761905</v>
      </c>
      <c r="T35" s="350">
        <f>'C-SH-5A ConsCombSectGob,99-21'!T35/42</f>
        <v>21473.547619047618</v>
      </c>
      <c r="U35" s="350">
        <f>'C-SH-5A ConsCombSectGob,99-21'!U35/42</f>
        <v>25053.904761904763</v>
      </c>
      <c r="V35" s="350">
        <f>'C-SH-5A ConsCombSectGob,99-21'!V35/42</f>
        <v>25971.333333333332</v>
      </c>
      <c r="W35" s="350">
        <f>'C-SH-5A ConsCombSectGob,99-21'!W35/42</f>
        <v>47015.642857142855</v>
      </c>
      <c r="X35" s="350">
        <f>'C-SH-5A ConsCombSectGob,99-21'!X35/42</f>
        <v>43729.5</v>
      </c>
      <c r="Y35" s="350">
        <f>'C-SH-5A ConsCombSectGob,99-21'!Y35/42</f>
        <v>50988.214285714283</v>
      </c>
      <c r="Z35" s="457">
        <f t="shared" si="13"/>
        <v>7.4593769845674437E-2</v>
      </c>
    </row>
    <row r="36" spans="2:26" ht="15" customHeight="1" x14ac:dyDescent="0.25">
      <c r="B36" s="570" t="s">
        <v>115</v>
      </c>
      <c r="C36" s="373">
        <f>SUM(C33:C35)</f>
        <v>20221.404761904763</v>
      </c>
      <c r="D36" s="363">
        <f>SUM(D33:D35)</f>
        <v>9794.0476190476202</v>
      </c>
      <c r="E36" s="363">
        <f>SUM(E33:E35)</f>
        <v>15620.857142857143</v>
      </c>
      <c r="F36" s="363">
        <f>SUM(F33:F35)</f>
        <v>12982.452380952382</v>
      </c>
      <c r="G36" s="364">
        <f t="shared" ref="G36:R36" si="14">+G33+G34+G35</f>
        <v>15081.285714285714</v>
      </c>
      <c r="H36" s="364">
        <f t="shared" si="14"/>
        <v>30451.738095238095</v>
      </c>
      <c r="I36" s="364">
        <f t="shared" si="14"/>
        <v>27481.11904761905</v>
      </c>
      <c r="J36" s="364">
        <f t="shared" si="14"/>
        <v>76723.952380952382</v>
      </c>
      <c r="K36" s="364">
        <f t="shared" si="14"/>
        <v>34017.928571428572</v>
      </c>
      <c r="L36" s="364">
        <f t="shared" si="14"/>
        <v>38515.619047619046</v>
      </c>
      <c r="M36" s="364">
        <f t="shared" si="14"/>
        <v>45189.166666666672</v>
      </c>
      <c r="N36" s="364">
        <f t="shared" si="14"/>
        <v>38368.666666666664</v>
      </c>
      <c r="O36" s="364">
        <f t="shared" si="14"/>
        <v>52701.761904761908</v>
      </c>
      <c r="P36" s="364">
        <f t="shared" si="14"/>
        <v>54325.047619047618</v>
      </c>
      <c r="Q36" s="364">
        <f t="shared" si="14"/>
        <v>41200.380952380961</v>
      </c>
      <c r="R36" s="364">
        <f t="shared" si="14"/>
        <v>239580.05023809522</v>
      </c>
      <c r="S36" s="364">
        <f>'C-SH-5A ConsCombSectGob,99-21'!S36/42</f>
        <v>57415.309523809527</v>
      </c>
      <c r="T36" s="364">
        <f>'C-SH-5A ConsCombSectGob,99-21'!T36/42</f>
        <v>59656.404761904763</v>
      </c>
      <c r="U36" s="364">
        <f>'C-SH-5A ConsCombSectGob,99-21'!U36/42</f>
        <v>70459.261904761908</v>
      </c>
      <c r="V36" s="364">
        <f>'C-SH-5A ConsCombSectGob,99-21'!V36/42</f>
        <v>70891.928571428565</v>
      </c>
      <c r="W36" s="364">
        <f>'C-SH-5A ConsCombSectGob,99-21'!W36/42</f>
        <v>145812.85714285713</v>
      </c>
      <c r="X36" s="364">
        <f>'C-SH-5A ConsCombSectGob,99-21'!X36/42</f>
        <v>134703.14285714287</v>
      </c>
      <c r="Y36" s="364">
        <f>'C-SH-5A ConsCombSectGob,99-21'!Y36/42</f>
        <v>131425.26190476189</v>
      </c>
      <c r="Z36" s="458">
        <f t="shared" si="13"/>
        <v>8.8801032511422656E-2</v>
      </c>
    </row>
    <row r="37" spans="2:26" ht="15" customHeight="1" x14ac:dyDescent="0.25">
      <c r="B37" s="577"/>
      <c r="C37" s="361"/>
      <c r="D37" s="349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181"/>
    </row>
    <row r="38" spans="2:26" ht="15" customHeight="1" x14ac:dyDescent="0.25">
      <c r="B38" s="577" t="s">
        <v>89</v>
      </c>
      <c r="C38" s="361">
        <f>'C-SH-5A ConsCombSectGob,99-21'!C38/42</f>
        <v>8699.8571428571431</v>
      </c>
      <c r="D38" s="349">
        <f>'C-SH-5A ConsCombSectGob,99-21'!D38/42</f>
        <v>2686.3095238095239</v>
      </c>
      <c r="E38" s="350">
        <f>'C-SH-5A ConsCombSectGob,99-21'!E38/42</f>
        <v>4938.9523809523807</v>
      </c>
      <c r="F38" s="350">
        <f>'C-SH-5A ConsCombSectGob,99-21'!F38/42</f>
        <v>4595.5238095238092</v>
      </c>
      <c r="G38" s="350">
        <f>'C-SH-5A ConsCombSectGob,99-21'!G38/42</f>
        <v>5246.0238095238092</v>
      </c>
      <c r="H38" s="350">
        <f>'C-SH-5A ConsCombSectGob,99-21'!H38/42</f>
        <v>14201.095238095239</v>
      </c>
      <c r="I38" s="350">
        <f>'C-SH-5A ConsCombSectGob,99-21'!I38/42</f>
        <v>23519.928571428572</v>
      </c>
      <c r="J38" s="350">
        <f>'C-SH-5A ConsCombSectGob,99-21'!J38/42</f>
        <v>17784.547619047618</v>
      </c>
      <c r="K38" s="350">
        <f>'C-SH-5A ConsCombSectGob,99-21'!K38/42</f>
        <v>10757.5</v>
      </c>
      <c r="L38" s="350">
        <f>'C-SH-5A ConsCombSectGob,99-21'!L38/42</f>
        <v>11579.476190476191</v>
      </c>
      <c r="M38" s="350">
        <f>'C-SH-5A ConsCombSectGob,99-21'!M38/42</f>
        <v>17039.380952380954</v>
      </c>
      <c r="N38" s="350">
        <f>'C-SH-5A ConsCombSectGob,99-21'!N38/42</f>
        <v>17741.014523809525</v>
      </c>
      <c r="O38" s="350">
        <f>'C-SH-5A ConsCombSectGob,99-21'!O38/42</f>
        <v>17538</v>
      </c>
      <c r="P38" s="350">
        <f>'C-SH-5A ConsCombSectGob,99-21'!P38/42</f>
        <v>16402.785714285714</v>
      </c>
      <c r="Q38" s="350">
        <f>'C-SH-5A ConsCombSectGob,99-21'!Q38/42</f>
        <v>20783.452380952382</v>
      </c>
      <c r="R38" s="350">
        <f>'C-SH-5A ConsCombSectGob,99-21'!R38/42</f>
        <v>76587.404761904763</v>
      </c>
      <c r="S38" s="350">
        <f>'C-SH-5A ConsCombSectGob,99-21'!S38/42</f>
        <v>19264.880952380954</v>
      </c>
      <c r="T38" s="350">
        <f>'C-SH-5A ConsCombSectGob,99-21'!T38/42</f>
        <v>22378.857142857141</v>
      </c>
      <c r="U38" s="350">
        <f>'C-SH-5A ConsCombSectGob,99-21'!U38/42</f>
        <v>23113.595238095237</v>
      </c>
      <c r="V38" s="350">
        <f>'C-SH-5A ConsCombSectGob,99-21'!V38/42</f>
        <v>25169</v>
      </c>
      <c r="W38" s="350">
        <f>'C-SH-5A ConsCombSectGob,99-21'!W38/42</f>
        <v>48739.785714285717</v>
      </c>
      <c r="X38" s="350">
        <f>'C-SH-5A ConsCombSectGob,99-21'!X38/42</f>
        <v>32954.428571428572</v>
      </c>
      <c r="Y38" s="350">
        <f>'C-SH-5A ConsCombSectGob,99-21'!Y38/42</f>
        <v>47742.952380952382</v>
      </c>
      <c r="Z38" s="457">
        <f>RATE(-22,,-Y38,C38)</f>
        <v>8.0460666760087077E-2</v>
      </c>
    </row>
    <row r="39" spans="2:26" ht="15" customHeight="1" x14ac:dyDescent="0.25">
      <c r="B39" s="577" t="s">
        <v>90</v>
      </c>
      <c r="C39" s="361">
        <f>'C-SH-5A ConsCombSectGob,99-21'!C39/42</f>
        <v>3346.4761904761904</v>
      </c>
      <c r="D39" s="349">
        <f>'C-SH-5A ConsCombSectGob,99-21'!D39/42</f>
        <v>4519.5714285714284</v>
      </c>
      <c r="E39" s="350">
        <f>'C-SH-5A ConsCombSectGob,99-21'!E39/42</f>
        <v>5547.5</v>
      </c>
      <c r="F39" s="350">
        <f>'C-SH-5A ConsCombSectGob,99-21'!F39/42</f>
        <v>5084.3095238095239</v>
      </c>
      <c r="G39" s="350">
        <f>'C-SH-5A ConsCombSectGob,99-21'!G39/42</f>
        <v>5361.6904761904761</v>
      </c>
      <c r="H39" s="350">
        <f>'C-SH-5A ConsCombSectGob,99-21'!H39/42</f>
        <v>9669.6428571428569</v>
      </c>
      <c r="I39" s="350">
        <f>'C-SH-5A ConsCombSectGob,99-21'!I39/42</f>
        <v>29816.309523809523</v>
      </c>
      <c r="J39" s="350">
        <f>'C-SH-5A ConsCombSectGob,99-21'!J39/42</f>
        <v>12392.642857142857</v>
      </c>
      <c r="K39" s="350">
        <f>'C-SH-5A ConsCombSectGob,99-21'!K39/42</f>
        <v>11073.666666666666</v>
      </c>
      <c r="L39" s="350">
        <f>'C-SH-5A ConsCombSectGob,99-21'!L39/42</f>
        <v>15764.523809523809</v>
      </c>
      <c r="M39" s="350">
        <f>'C-SH-5A ConsCombSectGob,99-21'!M39/42</f>
        <v>16156.976190476191</v>
      </c>
      <c r="N39" s="350">
        <f>'C-SH-5A ConsCombSectGob,99-21'!N39/42</f>
        <v>18688.119047619046</v>
      </c>
      <c r="O39" s="350">
        <f>'C-SH-5A ConsCombSectGob,99-21'!O39/42</f>
        <v>18585.214285714286</v>
      </c>
      <c r="P39" s="350">
        <f>'C-SH-5A ConsCombSectGob,99-21'!P39/42</f>
        <v>18805.857142857141</v>
      </c>
      <c r="Q39" s="350">
        <f>'C-SH-5A ConsCombSectGob,99-21'!Q39/42</f>
        <v>21880.047619047618</v>
      </c>
      <c r="R39" s="350">
        <f>'C-SH-5A ConsCombSectGob,99-21'!R39/42</f>
        <v>55736.047619047618</v>
      </c>
      <c r="S39" s="350">
        <f>'C-SH-5A ConsCombSectGob,99-21'!S39/42</f>
        <v>20833.238095238095</v>
      </c>
      <c r="T39" s="350">
        <f>'C-SH-5A ConsCombSectGob,99-21'!T39/42</f>
        <v>22376.238095238095</v>
      </c>
      <c r="U39" s="350">
        <f>'C-SH-5A ConsCombSectGob,99-21'!U39/42</f>
        <v>24611.714285714286</v>
      </c>
      <c r="V39" s="350">
        <f>'C-SH-5A ConsCombSectGob,99-21'!V39/42</f>
        <v>25349.095238095237</v>
      </c>
      <c r="W39" s="350">
        <f>'C-SH-5A ConsCombSectGob,99-21'!W39/42</f>
        <v>49053.571428571428</v>
      </c>
      <c r="X39" s="350">
        <f>'C-SH-5A ConsCombSectGob,99-21'!X39/42</f>
        <v>35352.595238095237</v>
      </c>
      <c r="Y39" s="350">
        <f>'C-SH-5A ConsCombSectGob,99-21'!Y39/42</f>
        <v>44228.095238095237</v>
      </c>
      <c r="Z39" s="457">
        <f t="shared" ref="Z39:Z41" si="15">RATE(-22,,-Y39,C39)</f>
        <v>0.12450028031044695</v>
      </c>
    </row>
    <row r="40" spans="2:26" ht="15" customHeight="1" x14ac:dyDescent="0.25">
      <c r="B40" s="577" t="s">
        <v>91</v>
      </c>
      <c r="C40" s="361">
        <f>'C-SH-5A ConsCombSectGob,99-21'!C40/42</f>
        <v>7486.6428571428569</v>
      </c>
      <c r="D40" s="349">
        <f>'C-SH-5A ConsCombSectGob,99-21'!D40/42</f>
        <v>4401.666666666667</v>
      </c>
      <c r="E40" s="350">
        <f>'C-SH-5A ConsCombSectGob,99-21'!E40/42</f>
        <v>5160.5238095238092</v>
      </c>
      <c r="F40" s="350">
        <f>'C-SH-5A ConsCombSectGob,99-21'!F40/42</f>
        <v>5275.0714285714284</v>
      </c>
      <c r="G40" s="350">
        <f>'C-SH-5A ConsCombSectGob,99-21'!G40/42</f>
        <v>5119.166666666667</v>
      </c>
      <c r="H40" s="350">
        <f>'C-SH-5A ConsCombSectGob,99-21'!H40/42</f>
        <v>8055.4047619047615</v>
      </c>
      <c r="I40" s="350">
        <f>'C-SH-5A ConsCombSectGob,99-21'!I40/42</f>
        <v>20737.309523809523</v>
      </c>
      <c r="J40" s="350">
        <f>'C-SH-5A ConsCombSectGob,99-21'!J40/42</f>
        <v>10675.071428571429</v>
      </c>
      <c r="K40" s="350">
        <f>'C-SH-5A ConsCombSectGob,99-21'!K40/42</f>
        <v>12296.904761904761</v>
      </c>
      <c r="L40" s="350">
        <f>'C-SH-5A ConsCombSectGob,99-21'!L40/42</f>
        <v>12675.976190476191</v>
      </c>
      <c r="M40" s="350">
        <f>'C-SH-5A ConsCombSectGob,99-21'!M40/42</f>
        <v>16842.904761904763</v>
      </c>
      <c r="N40" s="350">
        <f>'C-SH-5A ConsCombSectGob,99-21'!N40/42</f>
        <v>17980.880952380954</v>
      </c>
      <c r="O40" s="350">
        <f>'C-SH-5A ConsCombSectGob,99-21'!O40/42</f>
        <v>19306.166666666668</v>
      </c>
      <c r="P40" s="350">
        <f>'C-SH-5A ConsCombSectGob,99-21'!P40/42</f>
        <v>17686</v>
      </c>
      <c r="Q40" s="350">
        <f>'C-SH-5A ConsCombSectGob,99-21'!Q40/42</f>
        <v>19769.809523809523</v>
      </c>
      <c r="R40" s="350">
        <f>'C-SH-5A ConsCombSectGob,99-21'!R40/42</f>
        <v>26769.761904761905</v>
      </c>
      <c r="S40" s="350">
        <f>'C-SH-5A ConsCombSectGob,99-21'!S40/42</f>
        <v>19865.466428571428</v>
      </c>
      <c r="T40" s="350">
        <f>'C-SH-5A ConsCombSectGob,99-21'!T40/42</f>
        <v>22562.738095238095</v>
      </c>
      <c r="U40" s="350">
        <f>'C-SH-5A ConsCombSectGob,99-21'!U40/42</f>
        <v>23767.404761904763</v>
      </c>
      <c r="V40" s="350">
        <f>'C-SH-5A ConsCombSectGob,99-21'!V40/42</f>
        <v>24338.714285714286</v>
      </c>
      <c r="W40" s="350">
        <f>'C-SH-5A ConsCombSectGob,99-21'!W40/42</f>
        <v>47390.190476190473</v>
      </c>
      <c r="X40" s="350">
        <f>'C-SH-5A ConsCombSectGob,99-21'!X40/42</f>
        <v>41091.428571428572</v>
      </c>
      <c r="Y40" s="350">
        <f>'C-SH-5A ConsCombSectGob,99-21'!Y40/42</f>
        <v>42971.904761904763</v>
      </c>
      <c r="Z40" s="457">
        <f t="shared" si="15"/>
        <v>8.2668098949493271E-2</v>
      </c>
    </row>
    <row r="41" spans="2:26" ht="15" customHeight="1" x14ac:dyDescent="0.25">
      <c r="B41" s="570" t="s">
        <v>116</v>
      </c>
      <c r="C41" s="373">
        <f>SUM(C38:C40)</f>
        <v>19532.976190476191</v>
      </c>
      <c r="D41" s="363">
        <f>SUM(D38:D40)</f>
        <v>11607.547619047618</v>
      </c>
      <c r="E41" s="363">
        <f>SUM(E38:E40)</f>
        <v>15646.976190476191</v>
      </c>
      <c r="F41" s="363">
        <f>SUM(F38:F40)</f>
        <v>14954.90476190476</v>
      </c>
      <c r="G41" s="364">
        <f t="shared" ref="G41:R41" si="16">+G38+G39+G40</f>
        <v>15726.880952380954</v>
      </c>
      <c r="H41" s="364">
        <f t="shared" si="16"/>
        <v>31926.142857142855</v>
      </c>
      <c r="I41" s="364">
        <f t="shared" si="16"/>
        <v>74073.547619047618</v>
      </c>
      <c r="J41" s="364">
        <f t="shared" si="16"/>
        <v>40852.261904761901</v>
      </c>
      <c r="K41" s="364">
        <f t="shared" si="16"/>
        <v>34128.071428571428</v>
      </c>
      <c r="L41" s="364">
        <f t="shared" si="16"/>
        <v>40019.976190476191</v>
      </c>
      <c r="M41" s="364">
        <f t="shared" si="16"/>
        <v>50039.261904761908</v>
      </c>
      <c r="N41" s="364">
        <f t="shared" si="16"/>
        <v>54410.014523809521</v>
      </c>
      <c r="O41" s="364">
        <f t="shared" si="16"/>
        <v>55429.380952380961</v>
      </c>
      <c r="P41" s="364">
        <f t="shared" si="16"/>
        <v>52894.642857142855</v>
      </c>
      <c r="Q41" s="364">
        <f t="shared" si="16"/>
        <v>62433.309523809527</v>
      </c>
      <c r="R41" s="364">
        <f t="shared" si="16"/>
        <v>159093.21428571426</v>
      </c>
      <c r="S41" s="364">
        <f>'C-SH-5A ConsCombSectGob,99-21'!S41/42</f>
        <v>59963.58547619047</v>
      </c>
      <c r="T41" s="364">
        <f>'C-SH-5A ConsCombSectGob,99-21'!T41/42</f>
        <v>67317.833333333328</v>
      </c>
      <c r="U41" s="364">
        <f>'C-SH-5A ConsCombSectGob,99-21'!U41/42</f>
        <v>71492.71428571429</v>
      </c>
      <c r="V41" s="364">
        <f>'C-SH-5A ConsCombSectGob,99-21'!V41/42</f>
        <v>74856.809523809527</v>
      </c>
      <c r="W41" s="364">
        <f>'C-SH-5A ConsCombSectGob,99-21'!W41/42</f>
        <v>145183.54761904763</v>
      </c>
      <c r="X41" s="364">
        <f>'C-SH-5A ConsCombSectGob,99-21'!X41/42</f>
        <v>109398.45238095238</v>
      </c>
      <c r="Y41" s="364">
        <f>'C-SH-5A ConsCombSectGob,99-21'!Y41/42</f>
        <v>134942.95238095237</v>
      </c>
      <c r="Z41" s="458">
        <f t="shared" si="15"/>
        <v>9.1826717772021171E-2</v>
      </c>
    </row>
    <row r="42" spans="2:26" ht="15" customHeight="1" x14ac:dyDescent="0.25">
      <c r="B42" s="577"/>
      <c r="C42" s="361"/>
      <c r="D42" s="349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181"/>
    </row>
    <row r="43" spans="2:26" ht="15" customHeight="1" x14ac:dyDescent="0.25">
      <c r="B43" s="577" t="s">
        <v>93</v>
      </c>
      <c r="C43" s="361">
        <f>'C-SH-5A ConsCombSectGob,99-21'!C43/42</f>
        <v>5421.4523809523807</v>
      </c>
      <c r="D43" s="349">
        <f>'C-SH-5A ConsCombSectGob,99-21'!D43/42</f>
        <v>4533.3571428571431</v>
      </c>
      <c r="E43" s="350">
        <f>'C-SH-5A ConsCombSectGob,99-21'!E43/42</f>
        <v>5338.333333333333</v>
      </c>
      <c r="F43" s="350">
        <f>'C-SH-5A ConsCombSectGob,99-21'!F43/42</f>
        <v>5458.2857142857147</v>
      </c>
      <c r="G43" s="350">
        <f>'C-SH-5A ConsCombSectGob,99-21'!G43/42</f>
        <v>6304.6428571428569</v>
      </c>
      <c r="H43" s="350">
        <f>'C-SH-5A ConsCombSectGob,99-21'!H43/42</f>
        <v>9632.4285714285706</v>
      </c>
      <c r="I43" s="350">
        <f>'C-SH-5A ConsCombSectGob,99-21'!I43/42</f>
        <v>28632.880952380954</v>
      </c>
      <c r="J43" s="350">
        <f>'C-SH-5A ConsCombSectGob,99-21'!J43/42</f>
        <v>11090.238095238095</v>
      </c>
      <c r="K43" s="350">
        <f>'C-SH-5A ConsCombSectGob,99-21'!K43/42</f>
        <v>13710.357142857143</v>
      </c>
      <c r="L43" s="350">
        <f>'C-SH-5A ConsCombSectGob,99-21'!L43/42</f>
        <v>14285.928571428571</v>
      </c>
      <c r="M43" s="350">
        <f>'C-SH-5A ConsCombSectGob,99-21'!M43/42</f>
        <v>15996.047619047618</v>
      </c>
      <c r="N43" s="350">
        <f>'C-SH-5A ConsCombSectGob,99-21'!N43/42</f>
        <v>20231.904761904763</v>
      </c>
      <c r="O43" s="350">
        <f>'C-SH-5A ConsCombSectGob,99-21'!O43/42</f>
        <v>18423.952380952382</v>
      </c>
      <c r="P43" s="350">
        <f>'C-SH-5A ConsCombSectGob,99-21'!P43/42</f>
        <v>18718.190476190477</v>
      </c>
      <c r="Q43" s="350">
        <f>'C-SH-5A ConsCombSectGob,99-21'!Q43/42</f>
        <v>25666.642857142859</v>
      </c>
      <c r="R43" s="350">
        <f>'C-SH-5A ConsCombSectGob,99-21'!R43/42</f>
        <v>22112.714285714286</v>
      </c>
      <c r="S43" s="350">
        <f>'C-SH-5A ConsCombSectGob,99-21'!S43/42</f>
        <v>20800.121190476191</v>
      </c>
      <c r="T43" s="350">
        <f>'C-SH-5A ConsCombSectGob,99-21'!T43/42</f>
        <v>22482.952380952382</v>
      </c>
      <c r="U43" s="350">
        <f>'C-SH-5A ConsCombSectGob,99-21'!U43/42</f>
        <v>24641.738095238095</v>
      </c>
      <c r="V43" s="350">
        <f>'C-SH-5A ConsCombSectGob,99-21'!V43/42</f>
        <v>25174.357142857141</v>
      </c>
      <c r="W43" s="350">
        <f>'C-SH-5A ConsCombSectGob,99-21'!W43/42</f>
        <v>50126.476190476191</v>
      </c>
      <c r="X43" s="350">
        <f>'C-SH-5A ConsCombSectGob,99-21'!X43/42</f>
        <v>41274.904761904763</v>
      </c>
      <c r="Y43" s="350">
        <f>'C-SH-5A ConsCombSectGob,99-21'!Y43/42</f>
        <v>43598.452380952382</v>
      </c>
      <c r="Z43" s="457">
        <f>RATE(-22,,-Y43,C43)</f>
        <v>9.9391865748016589E-2</v>
      </c>
    </row>
    <row r="44" spans="2:26" ht="15" customHeight="1" x14ac:dyDescent="0.25">
      <c r="B44" s="577" t="s">
        <v>94</v>
      </c>
      <c r="C44" s="361">
        <f>'C-SH-5A ConsCombSectGob,99-21'!C44/42</f>
        <v>5542.8809523809523</v>
      </c>
      <c r="D44" s="349">
        <f>'C-SH-5A ConsCombSectGob,99-21'!D44/42</f>
        <v>5890.166666666667</v>
      </c>
      <c r="E44" s="350">
        <f>'C-SH-5A ConsCombSectGob,99-21'!E44/42</f>
        <v>5150.833333333333</v>
      </c>
      <c r="F44" s="350">
        <f>'C-SH-5A ConsCombSectGob,99-21'!F44/42</f>
        <v>5297.833333333333</v>
      </c>
      <c r="G44" s="350">
        <f>'C-SH-5A ConsCombSectGob,99-21'!G44/42</f>
        <v>5484.2142857142853</v>
      </c>
      <c r="H44" s="350">
        <f>'C-SH-5A ConsCombSectGob,99-21'!H44/42</f>
        <v>8938.1904761904771</v>
      </c>
      <c r="I44" s="350">
        <f>'C-SH-5A ConsCombSectGob,99-21'!I44/42</f>
        <v>25757</v>
      </c>
      <c r="J44" s="350">
        <f>'C-SH-5A ConsCombSectGob,99-21'!J44/42</f>
        <v>12018.5</v>
      </c>
      <c r="K44" s="350">
        <f>'C-SH-5A ConsCombSectGob,99-21'!K44/42</f>
        <v>13330.642857142857</v>
      </c>
      <c r="L44" s="350">
        <f>'C-SH-5A ConsCombSectGob,99-21'!L44/42</f>
        <v>10480.880952380952</v>
      </c>
      <c r="M44" s="350">
        <f>'C-SH-5A ConsCombSectGob,99-21'!M44/42</f>
        <v>16735.238095238095</v>
      </c>
      <c r="N44" s="350">
        <f>'C-SH-5A ConsCombSectGob,99-21'!N44/42</f>
        <v>18414.357142857141</v>
      </c>
      <c r="O44" s="350">
        <f>'C-SH-5A ConsCombSectGob,99-21'!O44/42</f>
        <v>19518.333333333332</v>
      </c>
      <c r="P44" s="350">
        <f>'C-SH-5A ConsCombSectGob,99-21'!P44/42</f>
        <v>5289.2857142857147</v>
      </c>
      <c r="Q44" s="350">
        <f>'C-SH-5A ConsCombSectGob,99-21'!Q44/42</f>
        <v>20958.333333333332</v>
      </c>
      <c r="R44" s="350">
        <f>'C-SH-5A ConsCombSectGob,99-21'!R44/42</f>
        <v>20792.595238095237</v>
      </c>
      <c r="S44" s="350">
        <f>'C-SH-5A ConsCombSectGob,99-21'!S44/42</f>
        <v>20469.571428571428</v>
      </c>
      <c r="T44" s="350">
        <f>'C-SH-5A ConsCombSectGob,99-21'!T44/42</f>
        <v>23701.976190476191</v>
      </c>
      <c r="U44" s="350">
        <f>'C-SH-5A ConsCombSectGob,99-21'!U44/42</f>
        <v>25604.095238095237</v>
      </c>
      <c r="V44" s="350">
        <f>'C-SH-5A ConsCombSectGob,99-21'!V44/42</f>
        <v>35629.190476190473</v>
      </c>
      <c r="W44" s="350">
        <f>'C-SH-5A ConsCombSectGob,99-21'!W44/42</f>
        <v>49663.261904761908</v>
      </c>
      <c r="X44" s="350">
        <f>'C-SH-5A ConsCombSectGob,99-21'!X44/42</f>
        <v>41420.738095238092</v>
      </c>
      <c r="Y44" s="350">
        <f>'C-SH-5A ConsCombSectGob,99-21'!Y44/42</f>
        <v>45530.666666666664</v>
      </c>
      <c r="Z44" s="457">
        <f t="shared" ref="Z44:Z46" si="17">RATE(-22,,-Y44,C44)</f>
        <v>0.10045248017812561</v>
      </c>
    </row>
    <row r="45" spans="2:26" ht="15" customHeight="1" x14ac:dyDescent="0.25">
      <c r="B45" s="577" t="s">
        <v>101</v>
      </c>
      <c r="C45" s="361">
        <f>'C-SH-5A ConsCombSectGob,99-21'!C45/42</f>
        <v>8069.5</v>
      </c>
      <c r="D45" s="349">
        <f>'C-SH-5A ConsCombSectGob,99-21'!D45/42</f>
        <v>4651</v>
      </c>
      <c r="E45" s="350">
        <f>'C-SH-5A ConsCombSectGob,99-21'!E45/42</f>
        <v>4280.6904761904761</v>
      </c>
      <c r="F45" s="350">
        <f>'C-SH-5A ConsCombSectGob,99-21'!F45/42</f>
        <v>4851.9047619047615</v>
      </c>
      <c r="G45" s="350">
        <f>'C-SH-5A ConsCombSectGob,99-21'!G45/42</f>
        <v>5866.7142857142853</v>
      </c>
      <c r="H45" s="350">
        <f>'C-SH-5A ConsCombSectGob,99-21'!H45/42</f>
        <v>10019.857142857143</v>
      </c>
      <c r="I45" s="350">
        <f>'C-SH-5A ConsCombSectGob,99-21'!I45/42</f>
        <v>25097.547619047618</v>
      </c>
      <c r="J45" s="350">
        <f>'C-SH-5A ConsCombSectGob,99-21'!J45/42</f>
        <v>10109.166666666666</v>
      </c>
      <c r="K45" s="350">
        <f>'C-SH-5A ConsCombSectGob,99-21'!K45/42</f>
        <v>11776.738095238095</v>
      </c>
      <c r="L45" s="350">
        <f>'C-SH-5A ConsCombSectGob,99-21'!L45/42</f>
        <v>20609.142857142859</v>
      </c>
      <c r="M45" s="350">
        <f>'C-SH-5A ConsCombSectGob,99-21'!M45/42</f>
        <v>16282.785714285714</v>
      </c>
      <c r="N45" s="350">
        <f>'C-SH-5A ConsCombSectGob,99-21'!N45/42</f>
        <v>18855.976190476191</v>
      </c>
      <c r="O45" s="350">
        <f>'C-SH-5A ConsCombSectGob,99-21'!O45/42</f>
        <v>20096.785714285714</v>
      </c>
      <c r="P45" s="350">
        <f>'C-SH-5A ConsCombSectGob,99-21'!P45/42</f>
        <v>18019.071428571428</v>
      </c>
      <c r="Q45" s="350">
        <f>'C-SH-5A ConsCombSectGob,99-21'!Q45/42</f>
        <v>20955.976190476191</v>
      </c>
      <c r="R45" s="350">
        <f>'C-SH-5A ConsCombSectGob,99-21'!R45/42</f>
        <v>20895.047619047618</v>
      </c>
      <c r="S45" s="350">
        <f>'C-SH-5A ConsCombSectGob,99-21'!S45/42</f>
        <v>20904.711904761905</v>
      </c>
      <c r="T45" s="350">
        <f>'C-SH-5A ConsCombSectGob,99-21'!T45/42</f>
        <v>23252.309523809523</v>
      </c>
      <c r="U45" s="350">
        <f>'C-SH-5A ConsCombSectGob,99-21'!U45/42</f>
        <v>24483.476190476191</v>
      </c>
      <c r="V45" s="350">
        <f>'C-SH-5A ConsCombSectGob,99-21'!V45/42</f>
        <v>41339.333333333336</v>
      </c>
      <c r="W45" s="350">
        <f>'C-SH-5A ConsCombSectGob,99-21'!W45/42</f>
        <v>47579.452380952382</v>
      </c>
      <c r="X45" s="350">
        <f>'C-SH-5A ConsCombSectGob,99-21'!X45/42</f>
        <v>45679.904761904763</v>
      </c>
      <c r="Y45" s="350">
        <f>'C-SH-5A ConsCombSectGob,99-21'!Y45/42</f>
        <v>44005.547619047618</v>
      </c>
      <c r="Z45" s="457">
        <f t="shared" si="17"/>
        <v>8.0151273465650888E-2</v>
      </c>
    </row>
    <row r="46" spans="2:26" ht="15" customHeight="1" x14ac:dyDescent="0.25">
      <c r="B46" s="570" t="s">
        <v>117</v>
      </c>
      <c r="C46" s="373">
        <f>SUM(C43:C45)</f>
        <v>19033.833333333332</v>
      </c>
      <c r="D46" s="363">
        <f>SUM(D43:D45)</f>
        <v>15074.523809523809</v>
      </c>
      <c r="E46" s="363">
        <f>SUM(E43:E45)</f>
        <v>14769.857142857141</v>
      </c>
      <c r="F46" s="363">
        <f>SUM(F43:F45)</f>
        <v>15608.023809523809</v>
      </c>
      <c r="G46" s="364">
        <f t="shared" ref="G46:R46" si="18">+G43+G44+G45</f>
        <v>17655.571428571428</v>
      </c>
      <c r="H46" s="364">
        <f t="shared" si="18"/>
        <v>28590.476190476191</v>
      </c>
      <c r="I46" s="364">
        <f t="shared" si="18"/>
        <v>79487.42857142858</v>
      </c>
      <c r="J46" s="364">
        <f t="shared" si="18"/>
        <v>33217.904761904763</v>
      </c>
      <c r="K46" s="364">
        <f t="shared" si="18"/>
        <v>38817.738095238092</v>
      </c>
      <c r="L46" s="364">
        <f t="shared" si="18"/>
        <v>45375.952380952382</v>
      </c>
      <c r="M46" s="364">
        <f t="shared" si="18"/>
        <v>49014.071428571428</v>
      </c>
      <c r="N46" s="364">
        <f t="shared" si="18"/>
        <v>57502.238095238099</v>
      </c>
      <c r="O46" s="364">
        <f t="shared" si="18"/>
        <v>58039.07142857142</v>
      </c>
      <c r="P46" s="364">
        <f t="shared" si="18"/>
        <v>42026.547619047618</v>
      </c>
      <c r="Q46" s="364">
        <f t="shared" si="18"/>
        <v>67580.952380952382</v>
      </c>
      <c r="R46" s="364">
        <f t="shared" si="18"/>
        <v>63800.357142857145</v>
      </c>
      <c r="S46" s="364">
        <f>'C-SH-5A ConsCombSectGob,99-21'!S46/42</f>
        <v>62174.40452380952</v>
      </c>
      <c r="T46" s="364">
        <f>'C-SH-5A ConsCombSectGob,99-21'!T46/42</f>
        <v>69437.238095238092</v>
      </c>
      <c r="U46" s="364">
        <f>'C-SH-5A ConsCombSectGob,99-21'!U46/42</f>
        <v>74729.309523809527</v>
      </c>
      <c r="V46" s="364">
        <f>'C-SH-5A ConsCombSectGob,99-21'!V46/42</f>
        <v>102142.88095238095</v>
      </c>
      <c r="W46" s="364">
        <f>'C-SH-5A ConsCombSectGob,99-21'!W46/42</f>
        <v>147369.19047619047</v>
      </c>
      <c r="X46" s="364">
        <f>'C-SH-5A ConsCombSectGob,99-21'!X46/42</f>
        <v>128375.54761904762</v>
      </c>
      <c r="Y46" s="364">
        <f>'C-SH-5A ConsCombSectGob,99-21'!Y46/42</f>
        <v>133134.66666666666</v>
      </c>
      <c r="Z46" s="458">
        <f t="shared" si="17"/>
        <v>9.2442039159006228E-2</v>
      </c>
    </row>
    <row r="47" spans="2:26" ht="15" customHeight="1" x14ac:dyDescent="0.25">
      <c r="B47" s="577"/>
      <c r="C47" s="361"/>
      <c r="D47" s="349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181"/>
    </row>
    <row r="48" spans="2:26" ht="15" customHeight="1" x14ac:dyDescent="0.25">
      <c r="B48" s="577" t="s">
        <v>95</v>
      </c>
      <c r="C48" s="361">
        <f>'C-SH-5A ConsCombSectGob,99-21'!C48/42</f>
        <v>5202.166666666667</v>
      </c>
      <c r="D48" s="349">
        <f>'C-SH-5A ConsCombSectGob,99-21'!D48/42</f>
        <v>6469.1428571428569</v>
      </c>
      <c r="E48" s="350">
        <f>'C-SH-5A ConsCombSectGob,99-21'!E48/42</f>
        <v>4958.4761904761908</v>
      </c>
      <c r="F48" s="350">
        <f>'C-SH-5A ConsCombSectGob,99-21'!F48/42</f>
        <v>4977.4761904761908</v>
      </c>
      <c r="G48" s="350">
        <f>'C-SH-5A ConsCombSectGob,99-21'!G48/42</f>
        <v>6055.5</v>
      </c>
      <c r="H48" s="350">
        <f>'C-SH-5A ConsCombSectGob,99-21'!H48/42</f>
        <v>8633.7142857142862</v>
      </c>
      <c r="I48" s="350">
        <f>'C-SH-5A ConsCombSectGob,99-21'!I48/42</f>
        <v>23447.190476190477</v>
      </c>
      <c r="J48" s="350">
        <f>'C-SH-5A ConsCombSectGob,99-21'!J48/42</f>
        <v>11856.047619047618</v>
      </c>
      <c r="K48" s="350">
        <f>'C-SH-5A ConsCombSectGob,99-21'!K48/42</f>
        <v>13180.404761904761</v>
      </c>
      <c r="L48" s="350">
        <f>'C-SH-5A ConsCombSectGob,99-21'!L48/42</f>
        <v>16346.833333333334</v>
      </c>
      <c r="M48" s="350">
        <f>'C-SH-5A ConsCombSectGob,99-21'!M48/42</f>
        <v>11243.476190476191</v>
      </c>
      <c r="N48" s="350">
        <f>'C-SH-5A ConsCombSectGob,99-21'!N48/42</f>
        <v>19668.595238095237</v>
      </c>
      <c r="O48" s="350">
        <f>'C-SH-5A ConsCombSectGob,99-21'!O48/42</f>
        <v>21363.809523809523</v>
      </c>
      <c r="P48" s="350">
        <f>'C-SH-5A ConsCombSectGob,99-21'!P48/42</f>
        <v>20856.952380952382</v>
      </c>
      <c r="Q48" s="350">
        <f>'C-SH-5A ConsCombSectGob,99-21'!Q48/42</f>
        <v>25278.476190476191</v>
      </c>
      <c r="R48" s="350">
        <f>'C-SH-5A ConsCombSectGob,99-21'!R48/42</f>
        <v>21381.690476190477</v>
      </c>
      <c r="S48" s="350">
        <f>'C-SH-5A ConsCombSectGob,99-21'!S48/42</f>
        <v>22290.504285714287</v>
      </c>
      <c r="T48" s="350">
        <f>'C-SH-5A ConsCombSectGob,99-21'!T48/42</f>
        <v>24775.404761904763</v>
      </c>
      <c r="U48" s="350">
        <f>'C-SH-5A ConsCombSectGob,99-21'!U48/42</f>
        <v>25355</v>
      </c>
      <c r="V48" s="350">
        <f>'C-SH-5A ConsCombSectGob,99-21'!V48/42</f>
        <v>51898.714285714283</v>
      </c>
      <c r="W48" s="350">
        <f>'C-SH-5A ConsCombSectGob,99-21'!W48/42</f>
        <v>52501.714285714283</v>
      </c>
      <c r="X48" s="350">
        <f>'C-SH-5A ConsCombSectGob,99-21'!X48/42</f>
        <v>47238.690476190473</v>
      </c>
      <c r="Y48" s="350">
        <f>'C-SH-5A ConsCombSectGob,99-21'!Y48/42</f>
        <v>42462.071428571428</v>
      </c>
      <c r="Z48" s="457">
        <f>RATE(-22,,-Y48,C48)</f>
        <v>0.10013561232531004</v>
      </c>
    </row>
    <row r="49" spans="2:34" ht="15" customHeight="1" x14ac:dyDescent="0.25">
      <c r="B49" s="577" t="s">
        <v>96</v>
      </c>
      <c r="C49" s="361">
        <f>'C-SH-5A ConsCombSectGob,99-21'!C49/42</f>
        <v>5624.8571428571431</v>
      </c>
      <c r="D49" s="349">
        <f>'C-SH-5A ConsCombSectGob,99-21'!D49/42</f>
        <v>5213.0714285714284</v>
      </c>
      <c r="E49" s="350">
        <f>'C-SH-5A ConsCombSectGob,99-21'!E49/42</f>
        <v>5247.833333333333</v>
      </c>
      <c r="F49" s="350">
        <f>'C-SH-5A ConsCombSectGob,99-21'!F49/42</f>
        <v>5386.0476190476193</v>
      </c>
      <c r="G49" s="350">
        <f>'C-SH-5A ConsCombSectGob,99-21'!G49/42</f>
        <v>4931.833333333333</v>
      </c>
      <c r="H49" s="350">
        <f>'C-SH-5A ConsCombSectGob,99-21'!H49/42</f>
        <v>10928.238095238095</v>
      </c>
      <c r="I49" s="350">
        <f>'C-SH-5A ConsCombSectGob,99-21'!I49/42</f>
        <v>27368.976190476191</v>
      </c>
      <c r="J49" s="350">
        <f>'C-SH-5A ConsCombSectGob,99-21'!J49/42</f>
        <v>7832.5476190476193</v>
      </c>
      <c r="K49" s="350">
        <f>'C-SH-5A ConsCombSectGob,99-21'!K49/42</f>
        <v>15306.833333333334</v>
      </c>
      <c r="L49" s="350">
        <f>'C-SH-5A ConsCombSectGob,99-21'!L49/42</f>
        <v>15562.023809523809</v>
      </c>
      <c r="M49" s="350">
        <f>'C-SH-5A ConsCombSectGob,99-21'!M49/42</f>
        <v>24009.714285714286</v>
      </c>
      <c r="N49" s="350">
        <f>'C-SH-5A ConsCombSectGob,99-21'!N49/42</f>
        <v>16595.166666666668</v>
      </c>
      <c r="O49" s="350">
        <f>'C-SH-5A ConsCombSectGob,99-21'!O49/42</f>
        <v>16615.523809523809</v>
      </c>
      <c r="P49" s="350">
        <f>'C-SH-5A ConsCombSectGob,99-21'!P49/42</f>
        <v>20088.666666666668</v>
      </c>
      <c r="Q49" s="350">
        <f>'C-SH-5A ConsCombSectGob,99-21'!Q49/42</f>
        <v>29025.642857142859</v>
      </c>
      <c r="R49" s="350">
        <f>'C-SH-5A ConsCombSectGob,99-21'!R49/42</f>
        <v>17936</v>
      </c>
      <c r="S49" s="350">
        <f>'C-SH-5A ConsCombSectGob,99-21'!S49/42</f>
        <v>19249.43357142857</v>
      </c>
      <c r="T49" s="350">
        <f>'C-SH-5A ConsCombSectGob,99-21'!T49/42</f>
        <v>21402.357142857141</v>
      </c>
      <c r="U49" s="350">
        <f>'C-SH-5A ConsCombSectGob,99-21'!U49/42</f>
        <v>21988.476190476191</v>
      </c>
      <c r="V49" s="350">
        <f>'C-SH-5A ConsCombSectGob,99-21'!V49/42</f>
        <v>47424.380952380954</v>
      </c>
      <c r="W49" s="350">
        <f>'C-SH-5A ConsCombSectGob,99-21'!W49/42</f>
        <v>46957.071428571428</v>
      </c>
      <c r="X49" s="350">
        <f>'C-SH-5A ConsCombSectGob,99-21'!X49/42</f>
        <v>42585.214285714283</v>
      </c>
      <c r="Y49" s="350">
        <f>'C-SH-5A ConsCombSectGob,99-21'!Y49/42</f>
        <v>40555.595238095237</v>
      </c>
      <c r="Z49" s="457">
        <f t="shared" ref="Z49:Z51" si="19">RATE(-22,,-Y49,C49)</f>
        <v>9.3949414399774653E-2</v>
      </c>
    </row>
    <row r="50" spans="2:34" ht="15" customHeight="1" x14ac:dyDescent="0.25">
      <c r="B50" s="577" t="s">
        <v>97</v>
      </c>
      <c r="C50" s="361">
        <f>'C-SH-5A ConsCombSectGob,99-21'!C50/42</f>
        <v>7513</v>
      </c>
      <c r="D50" s="349">
        <f>'C-SH-5A ConsCombSectGob,99-21'!D50/42</f>
        <v>5705.8809523809523</v>
      </c>
      <c r="E50" s="350">
        <f>'C-SH-5A ConsCombSectGob,99-21'!E50/42</f>
        <v>4511.1428571428569</v>
      </c>
      <c r="F50" s="350">
        <f>'C-SH-5A ConsCombSectGob,99-21'!F50/42</f>
        <v>5609.2380952380954</v>
      </c>
      <c r="G50" s="350">
        <f>'C-SH-5A ConsCombSectGob,99-21'!G50/42</f>
        <v>6060.0238095238092</v>
      </c>
      <c r="H50" s="350">
        <f>'C-SH-5A ConsCombSectGob,99-21'!H50/42</f>
        <v>10656.047619047618</v>
      </c>
      <c r="I50" s="350">
        <f>'C-SH-5A ConsCombSectGob,99-21'!I50/42</f>
        <v>31642.5</v>
      </c>
      <c r="J50" s="350">
        <f>'C-SH-5A ConsCombSectGob,99-21'!J50/42</f>
        <v>11716.333333333334</v>
      </c>
      <c r="K50" s="350">
        <f>'C-SH-5A ConsCombSectGob,99-21'!K50/42</f>
        <v>11947.571428571429</v>
      </c>
      <c r="L50" s="350">
        <f>'C-SH-5A ConsCombSectGob,99-21'!L50/42</f>
        <v>16064.976190476191</v>
      </c>
      <c r="M50" s="350">
        <f>'C-SH-5A ConsCombSectGob,99-21'!M50/42</f>
        <v>34918.952380952382</v>
      </c>
      <c r="N50" s="350">
        <f>'C-SH-5A ConsCombSectGob,99-21'!N50/42</f>
        <v>18672.952380952382</v>
      </c>
      <c r="O50" s="350">
        <f>'C-SH-5A ConsCombSectGob,99-21'!O50/42</f>
        <v>18270.809523809523</v>
      </c>
      <c r="P50" s="350">
        <f>'C-SH-5A ConsCombSectGob,99-21'!P50/42</f>
        <v>19173.833333333332</v>
      </c>
      <c r="Q50" s="350">
        <f>'C-SH-5A ConsCombSectGob,99-21'!Q50/42</f>
        <v>56691.435952380954</v>
      </c>
      <c r="R50" s="350">
        <f>'C-SH-5A ConsCombSectGob,99-21'!R50/42</f>
        <v>19506.642857142859</v>
      </c>
      <c r="S50" s="350">
        <f>'C-SH-5A ConsCombSectGob,99-21'!S50/42</f>
        <v>20923.833333333332</v>
      </c>
      <c r="T50" s="350">
        <f>'C-SH-5A ConsCombSectGob,99-21'!T50/42</f>
        <v>21548.452380952382</v>
      </c>
      <c r="U50" s="350">
        <f>'C-SH-5A ConsCombSectGob,99-21'!U50/42</f>
        <v>23521.357142857141</v>
      </c>
      <c r="V50" s="350">
        <f>'C-SH-5A ConsCombSectGob,99-21'!V50/42</f>
        <v>46233.023809523809</v>
      </c>
      <c r="W50" s="350">
        <f>'C-SH-5A ConsCombSectGob,99-21'!W50/42</f>
        <v>48094.309523809527</v>
      </c>
      <c r="X50" s="350">
        <f>'C-SH-5A ConsCombSectGob,99-21'!X50/42</f>
        <v>46401.619047619046</v>
      </c>
      <c r="Y50" s="350">
        <f>'C-SH-5A ConsCombSectGob,99-21'!Y50/42</f>
        <v>43874.071428571428</v>
      </c>
      <c r="Z50" s="457">
        <f t="shared" si="19"/>
        <v>8.3517963607689746E-2</v>
      </c>
    </row>
    <row r="51" spans="2:34" ht="15" customHeight="1" x14ac:dyDescent="0.25">
      <c r="B51" s="570" t="s">
        <v>118</v>
      </c>
      <c r="C51" s="373">
        <f>SUM(C48:C50)</f>
        <v>18340.023809523809</v>
      </c>
      <c r="D51" s="363">
        <f>SUM(D48:D50)</f>
        <v>17388.095238095237</v>
      </c>
      <c r="E51" s="363">
        <f>SUM(E48:E50)</f>
        <v>14717.45238095238</v>
      </c>
      <c r="F51" s="363">
        <f>SUM(F48:F50)</f>
        <v>15972.761904761905</v>
      </c>
      <c r="G51" s="364">
        <f t="shared" ref="G51:R51" si="20">+G48+G49+G50</f>
        <v>17047.357142857141</v>
      </c>
      <c r="H51" s="364">
        <f t="shared" si="20"/>
        <v>30218</v>
      </c>
      <c r="I51" s="364">
        <f t="shared" si="20"/>
        <v>82458.666666666672</v>
      </c>
      <c r="J51" s="364">
        <f t="shared" si="20"/>
        <v>31404.928571428572</v>
      </c>
      <c r="K51" s="364">
        <f t="shared" si="20"/>
        <v>40434.809523809527</v>
      </c>
      <c r="L51" s="364">
        <f t="shared" si="20"/>
        <v>47973.833333333336</v>
      </c>
      <c r="M51" s="364">
        <f t="shared" si="20"/>
        <v>70172.142857142855</v>
      </c>
      <c r="N51" s="364">
        <f t="shared" si="20"/>
        <v>54936.71428571429</v>
      </c>
      <c r="O51" s="364">
        <f t="shared" si="20"/>
        <v>56250.142857142855</v>
      </c>
      <c r="P51" s="364">
        <f t="shared" si="20"/>
        <v>60119.452380952382</v>
      </c>
      <c r="Q51" s="364">
        <f t="shared" si="20"/>
        <v>110995.55500000001</v>
      </c>
      <c r="R51" s="364">
        <f t="shared" si="20"/>
        <v>58824.333333333328</v>
      </c>
      <c r="S51" s="364">
        <f>'C-SH-5A ConsCombSectGob,99-21'!S51/42</f>
        <v>62463.771190476196</v>
      </c>
      <c r="T51" s="364">
        <f>'C-SH-5A ConsCombSectGob,99-21'!T51/42</f>
        <v>67726.21428571429</v>
      </c>
      <c r="U51" s="364">
        <f>'C-SH-5A ConsCombSectGob,99-21'!U51/42</f>
        <v>70864.833333333328</v>
      </c>
      <c r="V51" s="364">
        <f>'C-SH-5A ConsCombSectGob,99-21'!V51/42</f>
        <v>145556.11904761905</v>
      </c>
      <c r="W51" s="364">
        <f>'C-SH-5A ConsCombSectGob,99-21'!W51/42</f>
        <v>147553.09523809524</v>
      </c>
      <c r="X51" s="364">
        <f>'C-SH-5A ConsCombSectGob,99-21'!X51/42</f>
        <v>136225.52380952382</v>
      </c>
      <c r="Y51" s="364">
        <f>'C-SH-5A ConsCombSectGob,99-21'!Y51/42</f>
        <v>126891.73809523809</v>
      </c>
      <c r="Z51" s="458">
        <f t="shared" si="19"/>
        <v>9.1901188438418227E-2</v>
      </c>
    </row>
    <row r="52" spans="2:34" ht="15" customHeight="1" thickBot="1" x14ac:dyDescent="0.3">
      <c r="B52" s="585"/>
      <c r="C52" s="374"/>
      <c r="D52" s="353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658"/>
    </row>
    <row r="53" spans="2:34" ht="15" customHeight="1" thickBot="1" x14ac:dyDescent="0.3">
      <c r="B53" s="557" t="s">
        <v>119</v>
      </c>
      <c r="C53" s="365">
        <f t="shared" ref="C53:L53" si="21">+C36+C41+C46+C51</f>
        <v>77128.238095238106</v>
      </c>
      <c r="D53" s="366">
        <f t="shared" si="21"/>
        <v>53864.214285714283</v>
      </c>
      <c r="E53" s="366">
        <f t="shared" si="21"/>
        <v>60755.142857142855</v>
      </c>
      <c r="F53" s="366">
        <f t="shared" si="21"/>
        <v>59518.142857142855</v>
      </c>
      <c r="G53" s="367">
        <f t="shared" si="21"/>
        <v>65511.095238095237</v>
      </c>
      <c r="H53" s="367">
        <f t="shared" si="21"/>
        <v>121186.35714285713</v>
      </c>
      <c r="I53" s="367">
        <f t="shared" si="21"/>
        <v>263500.76190476195</v>
      </c>
      <c r="J53" s="367">
        <f t="shared" si="21"/>
        <v>182199.04761904763</v>
      </c>
      <c r="K53" s="367">
        <f t="shared" si="21"/>
        <v>147398.54761904763</v>
      </c>
      <c r="L53" s="367">
        <f t="shared" si="21"/>
        <v>171885.38095238095</v>
      </c>
      <c r="M53" s="367">
        <f t="shared" ref="M53:S53" si="22">+M36+M41+M46+M51</f>
        <v>214414.64285714284</v>
      </c>
      <c r="N53" s="367">
        <f t="shared" si="22"/>
        <v>205217.63357142857</v>
      </c>
      <c r="O53" s="367">
        <f t="shared" si="22"/>
        <v>222420.35714285716</v>
      </c>
      <c r="P53" s="367">
        <f t="shared" si="22"/>
        <v>209365.69047619047</v>
      </c>
      <c r="Q53" s="367">
        <f t="shared" si="22"/>
        <v>282210.19785714289</v>
      </c>
      <c r="R53" s="367">
        <f t="shared" si="22"/>
        <v>521297.95499999996</v>
      </c>
      <c r="S53" s="366">
        <f t="shared" si="22"/>
        <v>242017.07071428571</v>
      </c>
      <c r="T53" s="366">
        <f t="shared" ref="T53:U53" si="23">+T36+T41+T46+T51</f>
        <v>264137.69047619047</v>
      </c>
      <c r="U53" s="366">
        <f t="shared" si="23"/>
        <v>287546.11904761905</v>
      </c>
      <c r="V53" s="366">
        <f t="shared" ref="V53:W53" si="24">+V36+V41+V46+V51</f>
        <v>393447.73809523811</v>
      </c>
      <c r="W53" s="366">
        <f t="shared" si="24"/>
        <v>585918.69047619042</v>
      </c>
      <c r="X53" s="366">
        <f t="shared" ref="X53:Y53" si="25">+X36+X41+X46+X51</f>
        <v>508702.66666666674</v>
      </c>
      <c r="Y53" s="366">
        <f t="shared" si="25"/>
        <v>526394.61904761905</v>
      </c>
      <c r="Z53" s="459">
        <f>RATE(-22,,-Y53,C53)</f>
        <v>9.1223089691960371E-2</v>
      </c>
    </row>
    <row r="54" spans="2:34" ht="15" customHeight="1" thickBot="1" x14ac:dyDescent="0.3"/>
    <row r="55" spans="2:34" ht="15" customHeight="1" x14ac:dyDescent="0.25">
      <c r="B55" s="930" t="s">
        <v>100</v>
      </c>
      <c r="C55" s="918" t="s">
        <v>78</v>
      </c>
      <c r="D55" s="918"/>
      <c r="E55" s="918"/>
      <c r="F55" s="918"/>
      <c r="G55" s="918"/>
      <c r="H55" s="918"/>
      <c r="I55" s="918"/>
      <c r="J55" s="918"/>
      <c r="K55" s="918"/>
      <c r="L55" s="918"/>
      <c r="M55" s="918"/>
      <c r="N55" s="918"/>
      <c r="O55" s="918"/>
      <c r="P55" s="918"/>
      <c r="Q55" s="918"/>
      <c r="R55" s="918"/>
      <c r="S55" s="918"/>
      <c r="T55" s="918"/>
      <c r="U55" s="918"/>
      <c r="V55" s="918"/>
      <c r="W55" s="918"/>
      <c r="X55" s="918"/>
      <c r="Y55" s="918"/>
      <c r="Z55" s="917"/>
      <c r="AA55" s="927"/>
      <c r="AB55" s="927"/>
      <c r="AC55" s="927"/>
      <c r="AD55" s="927"/>
      <c r="AE55" s="927"/>
      <c r="AF55" s="927"/>
      <c r="AG55" s="927"/>
      <c r="AH55" s="927"/>
    </row>
    <row r="56" spans="2:34" ht="15" customHeight="1" thickBot="1" x14ac:dyDescent="0.3">
      <c r="B56" s="931"/>
      <c r="C56" s="586">
        <v>1999</v>
      </c>
      <c r="D56" s="587">
        <v>2000</v>
      </c>
      <c r="E56" s="586">
        <v>2001</v>
      </c>
      <c r="F56" s="588">
        <v>2002</v>
      </c>
      <c r="G56" s="589">
        <v>2003</v>
      </c>
      <c r="H56" s="589">
        <v>2004</v>
      </c>
      <c r="I56" s="589">
        <v>2005</v>
      </c>
      <c r="J56" s="589">
        <v>2006</v>
      </c>
      <c r="K56" s="589">
        <v>2007</v>
      </c>
      <c r="L56" s="589">
        <v>2008</v>
      </c>
      <c r="M56" s="589">
        <v>2009</v>
      </c>
      <c r="N56" s="589">
        <v>2010</v>
      </c>
      <c r="O56" s="589">
        <v>2011</v>
      </c>
      <c r="P56" s="589">
        <v>2012</v>
      </c>
      <c r="Q56" s="589">
        <v>2013</v>
      </c>
      <c r="R56" s="589">
        <v>2014</v>
      </c>
      <c r="S56" s="589">
        <v>2015</v>
      </c>
      <c r="T56" s="733">
        <v>2016</v>
      </c>
      <c r="U56" s="756">
        <v>2017</v>
      </c>
      <c r="V56" s="769">
        <v>2018</v>
      </c>
      <c r="W56" s="788">
        <v>2019</v>
      </c>
      <c r="X56" s="805">
        <v>2020</v>
      </c>
      <c r="Y56" s="825">
        <v>2021</v>
      </c>
      <c r="Z56" s="552" t="s">
        <v>102</v>
      </c>
      <c r="AA56" s="6"/>
      <c r="AB56" s="6"/>
      <c r="AC56" s="6"/>
      <c r="AD56" s="6"/>
      <c r="AE56" s="6"/>
      <c r="AF56" s="6"/>
      <c r="AG56" s="6"/>
      <c r="AH56" s="6"/>
    </row>
    <row r="57" spans="2:34" ht="15" customHeight="1" x14ac:dyDescent="0.25">
      <c r="B57" s="574"/>
      <c r="C57" s="376"/>
      <c r="D57" s="368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174"/>
      <c r="AA57" s="24"/>
      <c r="AB57" s="24"/>
      <c r="AC57" s="24"/>
      <c r="AD57" s="24"/>
      <c r="AE57" s="24"/>
      <c r="AF57" s="24"/>
      <c r="AG57" s="24"/>
      <c r="AH57" s="182"/>
    </row>
    <row r="58" spans="2:34" ht="15" customHeight="1" x14ac:dyDescent="0.25">
      <c r="B58" s="577" t="s">
        <v>86</v>
      </c>
      <c r="C58" s="361">
        <f>'C-SH-5A ConsCombSectGob,99-21'!C58/42</f>
        <v>12387.785714285714</v>
      </c>
      <c r="D58" s="349">
        <f>'C-SH-5A ConsCombSectGob,99-21'!D58/42</f>
        <v>12912.309523809523</v>
      </c>
      <c r="E58" s="350">
        <f>'C-SH-5A ConsCombSectGob,99-21'!E58/42</f>
        <v>11907.261904761905</v>
      </c>
      <c r="F58" s="350">
        <f>'C-SH-5A ConsCombSectGob,99-21'!F58/42</f>
        <v>8769.8333333333339</v>
      </c>
      <c r="G58" s="350">
        <f>'C-SH-5A ConsCombSectGob,99-21'!G58/42</f>
        <v>9733.7857142857138</v>
      </c>
      <c r="H58" s="350">
        <f>'C-SH-5A ConsCombSectGob,99-21'!H58/42</f>
        <v>12404.595238095239</v>
      </c>
      <c r="I58" s="350">
        <f>'C-SH-5A ConsCombSectGob,99-21'!I58/42</f>
        <v>14050.119047619048</v>
      </c>
      <c r="J58" s="350">
        <f>'C-SH-5A ConsCombSectGob,99-21'!J58/42</f>
        <v>19977.404761904763</v>
      </c>
      <c r="K58" s="350">
        <f>'C-SH-5A ConsCombSectGob,99-21'!K58/42</f>
        <v>12318.142857142857</v>
      </c>
      <c r="L58" s="350">
        <f>'C-SH-5A ConsCombSectGob,99-21'!L58/42</f>
        <v>16791.428571428572</v>
      </c>
      <c r="M58" s="350">
        <f>'C-SH-5A ConsCombSectGob,99-21'!M58/42</f>
        <v>12942.023809523809</v>
      </c>
      <c r="N58" s="350">
        <f>'C-SH-5A ConsCombSectGob,99-21'!N58/42</f>
        <v>14851.047619047618</v>
      </c>
      <c r="O58" s="350">
        <f>'C-SH-5A ConsCombSectGob,99-21'!O58/42</f>
        <v>24452.580952380951</v>
      </c>
      <c r="P58" s="350">
        <f>'C-SH-5A ConsCombSectGob,99-21'!P58/42</f>
        <v>25280.976190476191</v>
      </c>
      <c r="Q58" s="350">
        <f>'C-SH-5A ConsCombSectGob,99-21'!Q58/42</f>
        <v>23503.523809523809</v>
      </c>
      <c r="R58" s="350">
        <f>'C-SH-5A ConsCombSectGob,99-21'!R58/42</f>
        <v>92008.857142857145</v>
      </c>
      <c r="S58" s="350">
        <f>'C-SH-5A ConsCombSectGob,99-21'!S58/42</f>
        <v>27660.5</v>
      </c>
      <c r="T58" s="350">
        <f>'C-SH-5A ConsCombSectGob,99-21'!T58/42</f>
        <v>28092.976190476191</v>
      </c>
      <c r="U58" s="350">
        <f>'C-SH-5A ConsCombSectGob,99-21'!U58/42</f>
        <v>31420.452380952382</v>
      </c>
      <c r="V58" s="350">
        <f>'C-SH-5A ConsCombSectGob,99-21'!V58/42</f>
        <v>32578.666666666668</v>
      </c>
      <c r="W58" s="350">
        <f>'C-SH-5A ConsCombSectGob,99-21'!W58/42</f>
        <v>58765.833333333336</v>
      </c>
      <c r="X58" s="350">
        <f>'C-SH-5A ConsCombSectGob,99-21'!X58/42</f>
        <v>54864.333333333336</v>
      </c>
      <c r="Y58" s="350">
        <f>'C-SH-5A ConsCombSectGob,99-21'!Y58/42</f>
        <v>44866.333333333336</v>
      </c>
      <c r="Z58" s="457">
        <f>RATE(-22,,-Y58,C58)</f>
        <v>6.0243864485101419E-2</v>
      </c>
      <c r="AA58" s="24"/>
      <c r="AB58" s="24"/>
      <c r="AC58" s="24"/>
      <c r="AD58" s="24"/>
      <c r="AE58" s="24"/>
      <c r="AF58" s="24"/>
      <c r="AG58" s="24"/>
      <c r="AH58" s="182"/>
    </row>
    <row r="59" spans="2:34" ht="15" customHeight="1" x14ac:dyDescent="0.25">
      <c r="B59" s="577" t="s">
        <v>87</v>
      </c>
      <c r="C59" s="361">
        <f>'C-SH-5A ConsCombSectGob,99-21'!C59/42</f>
        <v>6581.6190476190477</v>
      </c>
      <c r="D59" s="349">
        <f>'C-SH-5A ConsCombSectGob,99-21'!D59/42</f>
        <v>3355.6428571428573</v>
      </c>
      <c r="E59" s="350">
        <f>'C-SH-5A ConsCombSectGob,99-21'!E59/42</f>
        <v>11192.285714285714</v>
      </c>
      <c r="F59" s="350">
        <f>'C-SH-5A ConsCombSectGob,99-21'!F59/42</f>
        <v>7737.5714285714284</v>
      </c>
      <c r="G59" s="350">
        <f>'C-SH-5A ConsCombSectGob,99-21'!G59/42</f>
        <v>7879.5238095238092</v>
      </c>
      <c r="H59" s="350">
        <f>'C-SH-5A ConsCombSectGob,99-21'!H59/42</f>
        <v>12849.523809523809</v>
      </c>
      <c r="I59" s="350">
        <f>'C-SH-5A ConsCombSectGob,99-21'!I59/42</f>
        <v>9584.1666666666661</v>
      </c>
      <c r="J59" s="350">
        <f>'C-SH-5A ConsCombSectGob,99-21'!J59/42</f>
        <v>29048.095238095237</v>
      </c>
      <c r="K59" s="350">
        <f>'C-SH-5A ConsCombSectGob,99-21'!K59/42</f>
        <v>12009.357142857143</v>
      </c>
      <c r="L59" s="350">
        <f>'C-SH-5A ConsCombSectGob,99-21'!L59/42</f>
        <v>12132.976190476191</v>
      </c>
      <c r="M59" s="350">
        <f>'C-SH-5A ConsCombSectGob,99-21'!M59/42</f>
        <v>14937.238095238095</v>
      </c>
      <c r="N59" s="350">
        <f>'C-SH-5A ConsCombSectGob,99-21'!N59/42</f>
        <v>13090.785714285714</v>
      </c>
      <c r="O59" s="350">
        <f>'C-SH-5A ConsCombSectGob,99-21'!O59/42</f>
        <v>20483.48</v>
      </c>
      <c r="P59" s="350">
        <f>'C-SH-5A ConsCombSectGob,99-21'!P59/42</f>
        <v>25484.404761904763</v>
      </c>
      <c r="Q59" s="350">
        <f>'C-SH-5A ConsCombSectGob,99-21'!Q59/42</f>
        <v>25801.071428571428</v>
      </c>
      <c r="R59" s="350">
        <f>'C-SH-5A ConsCombSectGob,99-21'!R59/42</f>
        <v>82102.50761904761</v>
      </c>
      <c r="S59" s="350">
        <f>'C-SH-5A ConsCombSectGob,99-21'!S59/42</f>
        <v>25730.261904761905</v>
      </c>
      <c r="T59" s="350">
        <f>'C-SH-5A ConsCombSectGob,99-21'!T59/42</f>
        <v>27171.761904761905</v>
      </c>
      <c r="U59" s="350">
        <f>'C-SH-5A ConsCombSectGob,99-21'!U59/42</f>
        <v>31042</v>
      </c>
      <c r="V59" s="350">
        <f>'C-SH-5A ConsCombSectGob,99-21'!V59/42</f>
        <v>28848.666666666668</v>
      </c>
      <c r="W59" s="350">
        <f>'C-SH-5A ConsCombSectGob,99-21'!W59/42</f>
        <v>57423.738095238092</v>
      </c>
      <c r="X59" s="350">
        <f>'C-SH-5A ConsCombSectGob,99-21'!X59/42</f>
        <v>52213.619047619046</v>
      </c>
      <c r="Y59" s="350">
        <f>'C-SH-5A ConsCombSectGob,99-21'!Y59/42</f>
        <v>50050.761904761908</v>
      </c>
      <c r="Z59" s="457">
        <f t="shared" ref="Z59:Z61" si="26">RATE(-22,,-Y59,C59)</f>
        <v>9.6601909573317615E-2</v>
      </c>
      <c r="AA59" s="24"/>
      <c r="AB59" s="78"/>
      <c r="AC59" s="24"/>
      <c r="AD59" s="24"/>
      <c r="AE59" s="24"/>
      <c r="AF59" s="24"/>
      <c r="AG59" s="24"/>
      <c r="AH59" s="182"/>
    </row>
    <row r="60" spans="2:34" ht="15" customHeight="1" x14ac:dyDescent="0.25">
      <c r="B60" s="577" t="s">
        <v>88</v>
      </c>
      <c r="C60" s="361">
        <f>'C-SH-5A ConsCombSectGob,99-21'!C60/42</f>
        <v>19794.476190476191</v>
      </c>
      <c r="D60" s="349">
        <f>'C-SH-5A ConsCombSectGob,99-21'!D60/42</f>
        <v>2656.7380952380954</v>
      </c>
      <c r="E60" s="350">
        <f>'C-SH-5A ConsCombSectGob,99-21'!E60/42</f>
        <v>6774.8571428571431</v>
      </c>
      <c r="F60" s="350">
        <f>'C-SH-5A ConsCombSectGob,99-21'!F60/42</f>
        <v>4993.5714285714284</v>
      </c>
      <c r="G60" s="350">
        <f>'C-SH-5A ConsCombSectGob,99-21'!G60/42</f>
        <v>7726.7142857142853</v>
      </c>
      <c r="H60" s="350">
        <f>'C-SH-5A ConsCombSectGob,99-21'!H60/42</f>
        <v>15722.571428571429</v>
      </c>
      <c r="I60" s="350">
        <f>'C-SH-5A ConsCombSectGob,99-21'!I60/42</f>
        <v>11250.642857142857</v>
      </c>
      <c r="J60" s="350">
        <f>'C-SH-5A ConsCombSectGob,99-21'!J60/42</f>
        <v>36395.714285714283</v>
      </c>
      <c r="K60" s="350">
        <f>'C-SH-5A ConsCombSectGob,99-21'!K60/42</f>
        <v>19663.452380952382</v>
      </c>
      <c r="L60" s="350">
        <f>'C-SH-5A ConsCombSectGob,99-21'!L60/42</f>
        <v>16809.166666666668</v>
      </c>
      <c r="M60" s="350">
        <f>'C-SH-5A ConsCombSectGob,99-21'!M60/42</f>
        <v>27607.166666666668</v>
      </c>
      <c r="N60" s="350">
        <f>'C-SH-5A ConsCombSectGob,99-21'!N60/42</f>
        <v>24300.023809523809</v>
      </c>
      <c r="O60" s="350">
        <f>'C-SH-5A ConsCombSectGob,99-21'!O60/42</f>
        <v>23440.240238095237</v>
      </c>
      <c r="P60" s="350">
        <f>'C-SH-5A ConsCombSectGob,99-21'!P60/42</f>
        <v>26688.809523809523</v>
      </c>
      <c r="Q60" s="350">
        <f>'C-SH-5A ConsCombSectGob,99-21'!Q60/42</f>
        <v>5916.666666666667</v>
      </c>
      <c r="R60" s="350">
        <f>'C-SH-5A ConsCombSectGob,99-21'!R60/42</f>
        <v>91845.857142857145</v>
      </c>
      <c r="S60" s="350">
        <f>'C-SH-5A ConsCombSectGob,99-21'!S60/42</f>
        <v>30141.357142857141</v>
      </c>
      <c r="T60" s="350">
        <f>'C-SH-5A ConsCombSectGob,99-21'!T60/42</f>
        <v>30090.976190476191</v>
      </c>
      <c r="U60" s="350">
        <f>'C-SH-5A ConsCombSectGob,99-21'!U60/42</f>
        <v>34765.761904761908</v>
      </c>
      <c r="V60" s="350">
        <f>'C-SH-5A ConsCombSectGob,99-21'!V60/42</f>
        <v>34859.404761904763</v>
      </c>
      <c r="W60" s="350">
        <f>'C-SH-5A ConsCombSectGob,99-21'!W60/42</f>
        <v>55587.857142857145</v>
      </c>
      <c r="X60" s="350">
        <f>'C-SH-5A ConsCombSectGob,99-21'!X60/42</f>
        <v>51498.428571428572</v>
      </c>
      <c r="Y60" s="350">
        <f>'C-SH-5A ConsCombSectGob,99-21'!Y60/42</f>
        <v>59756.047619047618</v>
      </c>
      <c r="Z60" s="457">
        <f t="shared" si="26"/>
        <v>5.1503715005717453E-2</v>
      </c>
      <c r="AA60" s="24"/>
      <c r="AB60" s="24"/>
      <c r="AC60" s="24"/>
      <c r="AD60" s="24"/>
      <c r="AE60" s="24"/>
      <c r="AF60" s="24"/>
      <c r="AG60" s="24"/>
      <c r="AH60" s="182"/>
    </row>
    <row r="61" spans="2:34" ht="15" customHeight="1" x14ac:dyDescent="0.25">
      <c r="B61" s="570" t="s">
        <v>115</v>
      </c>
      <c r="C61" s="362">
        <f>SUM(C58:C60)</f>
        <v>38763.880952380954</v>
      </c>
      <c r="D61" s="363">
        <f>SUM(D58:D60)</f>
        <v>18924.690476190473</v>
      </c>
      <c r="E61" s="363">
        <f>SUM(E58:E60)</f>
        <v>29874.404761904763</v>
      </c>
      <c r="F61" s="363">
        <f>SUM(F58:F60)</f>
        <v>21500.976190476191</v>
      </c>
      <c r="G61" s="364">
        <f t="shared" ref="G61:R61" si="27">+G58+G59+G60</f>
        <v>25340.023809523809</v>
      </c>
      <c r="H61" s="364">
        <f t="shared" si="27"/>
        <v>40976.690476190473</v>
      </c>
      <c r="I61" s="364">
        <f t="shared" si="27"/>
        <v>34884.928571428572</v>
      </c>
      <c r="J61" s="364">
        <f t="shared" si="27"/>
        <v>85421.21428571429</v>
      </c>
      <c r="K61" s="364">
        <f t="shared" si="27"/>
        <v>43990.952380952382</v>
      </c>
      <c r="L61" s="364">
        <f t="shared" si="27"/>
        <v>45733.571428571435</v>
      </c>
      <c r="M61" s="364">
        <f t="shared" si="27"/>
        <v>55486.428571428572</v>
      </c>
      <c r="N61" s="364">
        <f t="shared" si="27"/>
        <v>52241.857142857145</v>
      </c>
      <c r="O61" s="364">
        <f t="shared" si="27"/>
        <v>68376.301190476195</v>
      </c>
      <c r="P61" s="364">
        <f t="shared" si="27"/>
        <v>77454.190476190473</v>
      </c>
      <c r="Q61" s="364">
        <f t="shared" si="27"/>
        <v>55221.261904761901</v>
      </c>
      <c r="R61" s="364">
        <f t="shared" si="27"/>
        <v>265957.22190476191</v>
      </c>
      <c r="S61" s="364">
        <f>'C-SH-5A ConsCombSectGob,99-21'!S61/42</f>
        <v>83532.119047619053</v>
      </c>
      <c r="T61" s="364">
        <f>'C-SH-5A ConsCombSectGob,99-21'!T61/42</f>
        <v>85355.71428571429</v>
      </c>
      <c r="U61" s="364">
        <f>'C-SH-5A ConsCombSectGob,99-21'!U61/42</f>
        <v>97228.21428571429</v>
      </c>
      <c r="V61" s="364">
        <f>'C-SH-5A ConsCombSectGob,99-21'!V61/42</f>
        <v>96286.738095238092</v>
      </c>
      <c r="W61" s="364">
        <f>'C-SH-5A ConsCombSectGob,99-21'!W61/42</f>
        <v>171777.42857142858</v>
      </c>
      <c r="X61" s="364">
        <f>'C-SH-5A ConsCombSectGob,99-21'!X61/42</f>
        <v>158576.38095238095</v>
      </c>
      <c r="Y61" s="364">
        <f>'C-SH-5A ConsCombSectGob,99-21'!Y61/42</f>
        <v>154673.14285714287</v>
      </c>
      <c r="Z61" s="458">
        <f t="shared" si="26"/>
        <v>6.4921562892409357E-2</v>
      </c>
      <c r="AA61" s="78"/>
      <c r="AB61" s="78"/>
      <c r="AC61" s="78"/>
      <c r="AD61" s="78"/>
      <c r="AE61" s="78"/>
      <c r="AF61" s="78"/>
      <c r="AG61" s="78"/>
      <c r="AH61" s="183"/>
    </row>
    <row r="62" spans="2:34" ht="15" customHeight="1" x14ac:dyDescent="0.25">
      <c r="B62" s="577"/>
      <c r="C62" s="348"/>
      <c r="D62" s="349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181"/>
      <c r="AA62" s="24"/>
      <c r="AB62" s="24"/>
      <c r="AC62" s="24"/>
      <c r="AD62" s="24"/>
      <c r="AE62" s="24"/>
      <c r="AF62" s="24"/>
      <c r="AG62" s="24"/>
      <c r="AH62" s="182"/>
    </row>
    <row r="63" spans="2:34" ht="15" customHeight="1" x14ac:dyDescent="0.25">
      <c r="B63" s="577" t="s">
        <v>89</v>
      </c>
      <c r="C63" s="361">
        <f>'C-SH-5A ConsCombSectGob,99-21'!C63/42</f>
        <v>15390.238095238095</v>
      </c>
      <c r="D63" s="349">
        <f>'C-SH-5A ConsCombSectGob,99-21'!D63/42</f>
        <v>4891.3571428571431</v>
      </c>
      <c r="E63" s="350">
        <f>'C-SH-5A ConsCombSectGob,99-21'!E63/42</f>
        <v>8849.6904761904771</v>
      </c>
      <c r="F63" s="350">
        <f>'C-SH-5A ConsCombSectGob,99-21'!F63/42</f>
        <v>7840.8809523809523</v>
      </c>
      <c r="G63" s="350">
        <f>'C-SH-5A ConsCombSectGob,99-21'!G63/42</f>
        <v>9201.3809523809523</v>
      </c>
      <c r="H63" s="350">
        <f>'C-SH-5A ConsCombSectGob,99-21'!H63/42</f>
        <v>18747.904761904763</v>
      </c>
      <c r="I63" s="350">
        <f>'C-SH-5A ConsCombSectGob,99-21'!I63/42</f>
        <v>26486.023809523809</v>
      </c>
      <c r="J63" s="350">
        <f>'C-SH-5A ConsCombSectGob,99-21'!J63/42</f>
        <v>20100.476190476191</v>
      </c>
      <c r="K63" s="350">
        <f>'C-SH-5A ConsCombSectGob,99-21'!K63/42</f>
        <v>13173.833333333334</v>
      </c>
      <c r="L63" s="350">
        <f>'C-SH-5A ConsCombSectGob,99-21'!L63/42</f>
        <v>14414.928571428571</v>
      </c>
      <c r="M63" s="350">
        <f>'C-SH-5A ConsCombSectGob,99-21'!M63/42</f>
        <v>22260.976190476191</v>
      </c>
      <c r="N63" s="350">
        <f>'C-SH-5A ConsCombSectGob,99-21'!N63/42</f>
        <v>23363.800238095238</v>
      </c>
      <c r="O63" s="350">
        <f>'C-SH-5A ConsCombSectGob,99-21'!O63/42</f>
        <v>24530.125952380953</v>
      </c>
      <c r="P63" s="350">
        <f>'C-SH-5A ConsCombSectGob,99-21'!P63/42</f>
        <v>24141.095238095237</v>
      </c>
      <c r="Q63" s="350">
        <f>'C-SH-5A ConsCombSectGob,99-21'!Q63/42</f>
        <v>29287.595238095237</v>
      </c>
      <c r="R63" s="350">
        <f>'C-SH-5A ConsCombSectGob,99-21'!R63/42</f>
        <v>86440</v>
      </c>
      <c r="S63" s="350">
        <f>'C-SH-5A ConsCombSectGob,99-21'!S63/42</f>
        <v>28656</v>
      </c>
      <c r="T63" s="350">
        <f>'C-SH-5A ConsCombSectGob,99-21'!T63/42</f>
        <v>31063.214285714286</v>
      </c>
      <c r="U63" s="350">
        <f>'C-SH-5A ConsCombSectGob,99-21'!U63/42</f>
        <v>31723.928571428572</v>
      </c>
      <c r="V63" s="350">
        <f>'C-SH-5A ConsCombSectGob,99-21'!V63/42</f>
        <v>34257.714285714283</v>
      </c>
      <c r="W63" s="350">
        <f>'C-SH-5A ConsCombSectGob,99-21'!W63/42</f>
        <v>57907.833333333336</v>
      </c>
      <c r="X63" s="350">
        <f>'C-SH-5A ConsCombSectGob,99-21'!X63/42</f>
        <v>38355.309523809527</v>
      </c>
      <c r="Y63" s="350">
        <f>'C-SH-5A ConsCombSectGob,99-21'!Y63/42</f>
        <v>55695.571428571428</v>
      </c>
      <c r="Z63" s="457">
        <f>RATE(-22,,-Y63,C63)</f>
        <v>6.0204852215189626E-2</v>
      </c>
      <c r="AA63" s="24"/>
      <c r="AB63" s="24"/>
      <c r="AC63" s="24"/>
      <c r="AD63" s="24"/>
      <c r="AE63" s="24"/>
      <c r="AF63" s="24"/>
      <c r="AG63" s="24"/>
      <c r="AH63" s="182"/>
    </row>
    <row r="64" spans="2:34" ht="15" customHeight="1" x14ac:dyDescent="0.25">
      <c r="B64" s="577" t="s">
        <v>90</v>
      </c>
      <c r="C64" s="361">
        <f>'C-SH-5A ConsCombSectGob,99-21'!C64/42</f>
        <v>6171.9761904761908</v>
      </c>
      <c r="D64" s="349">
        <f>'C-SH-5A ConsCombSectGob,99-21'!D64/42</f>
        <v>8740.6190476190477</v>
      </c>
      <c r="E64" s="350">
        <f>'C-SH-5A ConsCombSectGob,99-21'!E64/42</f>
        <v>9894.8809523809523</v>
      </c>
      <c r="F64" s="350">
        <f>'C-SH-5A ConsCombSectGob,99-21'!F64/42</f>
        <v>9495.5238095238092</v>
      </c>
      <c r="G64" s="350">
        <f>'C-SH-5A ConsCombSectGob,99-21'!G64/42</f>
        <v>9765</v>
      </c>
      <c r="H64" s="350">
        <f>'C-SH-5A ConsCombSectGob,99-21'!H64/42</f>
        <v>13479.857142857143</v>
      </c>
      <c r="I64" s="350">
        <f>'C-SH-5A ConsCombSectGob,99-21'!I64/42</f>
        <v>32674.714285714286</v>
      </c>
      <c r="J64" s="350">
        <f>'C-SH-5A ConsCombSectGob,99-21'!J64/42</f>
        <v>15810.880952380952</v>
      </c>
      <c r="K64" s="350">
        <f>'C-SH-5A ConsCombSectGob,99-21'!K64/42</f>
        <v>13891.095238095239</v>
      </c>
      <c r="L64" s="350">
        <f>'C-SH-5A ConsCombSectGob,99-21'!L64/42</f>
        <v>18430.261904761905</v>
      </c>
      <c r="M64" s="350">
        <f>'C-SH-5A ConsCombSectGob,99-21'!M64/42</f>
        <v>21112.190476190477</v>
      </c>
      <c r="N64" s="350">
        <f>'C-SH-5A ConsCombSectGob,99-21'!N64/42</f>
        <v>24634.952380952382</v>
      </c>
      <c r="O64" s="350">
        <f>'C-SH-5A ConsCombSectGob,99-21'!O64/42</f>
        <v>26249.113095238095</v>
      </c>
      <c r="P64" s="350">
        <f>'C-SH-5A ConsCombSectGob,99-21'!P64/42</f>
        <v>28132.833333333332</v>
      </c>
      <c r="Q64" s="350">
        <f>'C-SH-5A ConsCombSectGob,99-21'!Q64/42</f>
        <v>31494</v>
      </c>
      <c r="R64" s="350">
        <f>'C-SH-5A ConsCombSectGob,99-21'!R64/42</f>
        <v>64850.952380952382</v>
      </c>
      <c r="S64" s="350">
        <f>'C-SH-5A ConsCombSectGob,99-21'!S64/42</f>
        <v>29231.976190476191</v>
      </c>
      <c r="T64" s="350">
        <f>'C-SH-5A ConsCombSectGob,99-21'!T64/42</f>
        <v>31277</v>
      </c>
      <c r="U64" s="350">
        <f>'C-SH-5A ConsCombSectGob,99-21'!U64/42</f>
        <v>34019.785714285717</v>
      </c>
      <c r="V64" s="350">
        <f>'C-SH-5A ConsCombSectGob,99-21'!V64/42</f>
        <v>34677.190476190473</v>
      </c>
      <c r="W64" s="350">
        <f>'C-SH-5A ConsCombSectGob,99-21'!W64/42</f>
        <v>58418.928571428572</v>
      </c>
      <c r="X64" s="350">
        <f>'C-SH-5A ConsCombSectGob,99-21'!X64/42</f>
        <v>41767.666666666664</v>
      </c>
      <c r="Y64" s="350">
        <f>'C-SH-5A ConsCombSectGob,99-21'!Y64/42</f>
        <v>51867.238095238092</v>
      </c>
      <c r="Z64" s="457">
        <f t="shared" ref="Z64:Z66" si="28">RATE(-22,,-Y64,C64)</f>
        <v>0.10159336828476777</v>
      </c>
      <c r="AA64" s="24"/>
      <c r="AB64" s="24"/>
      <c r="AC64" s="24"/>
      <c r="AD64" s="24"/>
      <c r="AE64" s="24"/>
      <c r="AF64" s="24"/>
      <c r="AG64" s="24"/>
      <c r="AH64" s="182"/>
    </row>
    <row r="65" spans="2:34" ht="15" customHeight="1" x14ac:dyDescent="0.25">
      <c r="B65" s="577" t="s">
        <v>91</v>
      </c>
      <c r="C65" s="361">
        <f>'C-SH-5A ConsCombSectGob,99-21'!C65/42</f>
        <v>14943.309523809523</v>
      </c>
      <c r="D65" s="349">
        <f>'C-SH-5A ConsCombSectGob,99-21'!D65/42</f>
        <v>8121</v>
      </c>
      <c r="E65" s="350">
        <f>'C-SH-5A ConsCombSectGob,99-21'!E65/42</f>
        <v>9709.9285714285706</v>
      </c>
      <c r="F65" s="350">
        <f>'C-SH-5A ConsCombSectGob,99-21'!F65/42</f>
        <v>8710.4761904761908</v>
      </c>
      <c r="G65" s="350">
        <f>'C-SH-5A ConsCombSectGob,99-21'!G65/42</f>
        <v>8594.2380952380954</v>
      </c>
      <c r="H65" s="350">
        <f>'C-SH-5A ConsCombSectGob,99-21'!H65/42</f>
        <v>11296.285714285714</v>
      </c>
      <c r="I65" s="350">
        <f>'C-SH-5A ConsCombSectGob,99-21'!I65/42</f>
        <v>23126.880952380954</v>
      </c>
      <c r="J65" s="350">
        <f>'C-SH-5A ConsCombSectGob,99-21'!J65/42</f>
        <v>14054.5</v>
      </c>
      <c r="K65" s="350">
        <f>'C-SH-5A ConsCombSectGob,99-21'!K65/42</f>
        <v>15204.404761904761</v>
      </c>
      <c r="L65" s="350">
        <f>'C-SH-5A ConsCombSectGob,99-21'!L65/42</f>
        <v>15867.523809523809</v>
      </c>
      <c r="M65" s="350">
        <f>'C-SH-5A ConsCombSectGob,99-21'!M65/42</f>
        <v>22038.190476190477</v>
      </c>
      <c r="N65" s="350">
        <f>'C-SH-5A ConsCombSectGob,99-21'!N65/42</f>
        <v>23606.642857142859</v>
      </c>
      <c r="O65" s="350">
        <f>'C-SH-5A ConsCombSectGob,99-21'!O65/42</f>
        <v>27302.203095238096</v>
      </c>
      <c r="P65" s="350">
        <f>'C-SH-5A ConsCombSectGob,99-21'!P65/42</f>
        <v>26643.880952380954</v>
      </c>
      <c r="Q65" s="350">
        <f>'C-SH-5A ConsCombSectGob,99-21'!Q65/42</f>
        <v>29036.476190476191</v>
      </c>
      <c r="R65" s="350">
        <f>'C-SH-5A ConsCombSectGob,99-21'!R65/42</f>
        <v>35351.142857142855</v>
      </c>
      <c r="S65" s="350">
        <f>'C-SH-5A ConsCombSectGob,99-21'!S65/42</f>
        <v>28753.549523809525</v>
      </c>
      <c r="T65" s="350">
        <f>'C-SH-5A ConsCombSectGob,99-21'!T65/42</f>
        <v>31295.095238095237</v>
      </c>
      <c r="U65" s="350">
        <f>'C-SH-5A ConsCombSectGob,99-21'!U65/42</f>
        <v>32953.309523809527</v>
      </c>
      <c r="V65" s="350">
        <f>'C-SH-5A ConsCombSectGob,99-21'!V65/42</f>
        <v>33129.190476190473</v>
      </c>
      <c r="W65" s="350">
        <f>'C-SH-5A ConsCombSectGob,99-21'!W65/42</f>
        <v>55645.5</v>
      </c>
      <c r="X65" s="350">
        <f>'C-SH-5A ConsCombSectGob,99-21'!X65/42</f>
        <v>48041.476190476191</v>
      </c>
      <c r="Y65" s="350">
        <f>'C-SH-5A ConsCombSectGob,99-21'!Y65/42</f>
        <v>50827.5</v>
      </c>
      <c r="Z65" s="457">
        <f t="shared" si="28"/>
        <v>5.7221528081931421E-2</v>
      </c>
      <c r="AA65" s="24"/>
      <c r="AB65" s="24"/>
      <c r="AC65" s="24"/>
      <c r="AD65" s="24"/>
      <c r="AE65" s="24"/>
      <c r="AF65" s="24"/>
      <c r="AG65" s="24"/>
      <c r="AH65" s="182"/>
    </row>
    <row r="66" spans="2:34" ht="15" customHeight="1" x14ac:dyDescent="0.25">
      <c r="B66" s="570" t="s">
        <v>116</v>
      </c>
      <c r="C66" s="362">
        <f>SUM(C63:C65)</f>
        <v>36505.523809523809</v>
      </c>
      <c r="D66" s="363">
        <f>SUM(D63:D65)</f>
        <v>21752.976190476191</v>
      </c>
      <c r="E66" s="363">
        <f>SUM(E63:E65)</f>
        <v>28454.5</v>
      </c>
      <c r="F66" s="363">
        <f>SUM(F63:F65)</f>
        <v>26046.880952380954</v>
      </c>
      <c r="G66" s="364">
        <f t="shared" ref="G66:R66" si="29">+G63+G64+G65</f>
        <v>27560.61904761905</v>
      </c>
      <c r="H66" s="364">
        <f t="shared" si="29"/>
        <v>43524.047619047618</v>
      </c>
      <c r="I66" s="364">
        <f t="shared" si="29"/>
        <v>82287.619047619053</v>
      </c>
      <c r="J66" s="364">
        <f t="shared" si="29"/>
        <v>49965.857142857145</v>
      </c>
      <c r="K66" s="364">
        <f t="shared" si="29"/>
        <v>42269.333333333336</v>
      </c>
      <c r="L66" s="364">
        <f t="shared" si="29"/>
        <v>48712.714285714283</v>
      </c>
      <c r="M66" s="364">
        <f t="shared" si="29"/>
        <v>65411.357142857145</v>
      </c>
      <c r="N66" s="364">
        <f t="shared" si="29"/>
        <v>71605.395476190475</v>
      </c>
      <c r="O66" s="364">
        <f t="shared" si="29"/>
        <v>78081.442142857151</v>
      </c>
      <c r="P66" s="364">
        <f t="shared" si="29"/>
        <v>78917.809523809527</v>
      </c>
      <c r="Q66" s="364">
        <f t="shared" si="29"/>
        <v>89818.07142857142</v>
      </c>
      <c r="R66" s="364">
        <f t="shared" si="29"/>
        <v>186642.09523809521</v>
      </c>
      <c r="S66" s="364">
        <f>'C-SH-5A ConsCombSectGob,99-21'!S66/42</f>
        <v>86641.525714285715</v>
      </c>
      <c r="T66" s="364">
        <f>'C-SH-5A ConsCombSectGob,99-21'!T66/42</f>
        <v>93635.309523809527</v>
      </c>
      <c r="U66" s="364">
        <f>'C-SH-5A ConsCombSectGob,99-21'!U66/42</f>
        <v>98697.023809523816</v>
      </c>
      <c r="V66" s="364">
        <f>'C-SH-5A ConsCombSectGob,99-21'!V66/42</f>
        <v>102064.09523809524</v>
      </c>
      <c r="W66" s="364">
        <f>'C-SH-5A ConsCombSectGob,99-21'!W66/42</f>
        <v>171972.26190476189</v>
      </c>
      <c r="X66" s="364">
        <f>'C-SH-5A ConsCombSectGob,99-21'!X66/42</f>
        <v>128164.45238095238</v>
      </c>
      <c r="Y66" s="364">
        <f>'C-SH-5A ConsCombSectGob,99-21'!Y66/42</f>
        <v>158390.30952380953</v>
      </c>
      <c r="Z66" s="458">
        <f t="shared" si="28"/>
        <v>6.8984393147888581E-2</v>
      </c>
      <c r="AA66" s="78"/>
      <c r="AB66" s="78"/>
      <c r="AC66" s="78"/>
      <c r="AD66" s="78"/>
      <c r="AE66" s="78"/>
      <c r="AF66" s="78"/>
      <c r="AG66" s="78"/>
      <c r="AH66" s="183"/>
    </row>
    <row r="67" spans="2:34" ht="15" customHeight="1" x14ac:dyDescent="0.25">
      <c r="B67" s="577"/>
      <c r="C67" s="348"/>
      <c r="D67" s="349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181"/>
      <c r="AA67" s="24"/>
      <c r="AB67" s="24"/>
      <c r="AC67" s="24"/>
      <c r="AD67" s="24"/>
      <c r="AE67" s="24"/>
      <c r="AF67" s="24"/>
      <c r="AG67" s="24"/>
      <c r="AH67" s="182"/>
    </row>
    <row r="68" spans="2:34" ht="15" customHeight="1" x14ac:dyDescent="0.25">
      <c r="B68" s="577" t="s">
        <v>93</v>
      </c>
      <c r="C68" s="361">
        <f>'C-SH-5A ConsCombSectGob,99-21'!C68/42</f>
        <v>10852.547619047618</v>
      </c>
      <c r="D68" s="349">
        <f>'C-SH-5A ConsCombSectGob,99-21'!D68/42</f>
        <v>8896.8333333333339</v>
      </c>
      <c r="E68" s="350">
        <f>'C-SH-5A ConsCombSectGob,99-21'!E68/42</f>
        <v>10470.952380952382</v>
      </c>
      <c r="F68" s="350">
        <f>'C-SH-5A ConsCombSectGob,99-21'!F68/42</f>
        <v>9483.6666666666661</v>
      </c>
      <c r="G68" s="350">
        <f>'C-SH-5A ConsCombSectGob,99-21'!G68/42</f>
        <v>10876.119047619048</v>
      </c>
      <c r="H68" s="350">
        <f>'C-SH-5A ConsCombSectGob,99-21'!H68/42</f>
        <v>13516.261904761905</v>
      </c>
      <c r="I68" s="350">
        <f>'C-SH-5A ConsCombSectGob,99-21'!I68/42</f>
        <v>31506.357142857141</v>
      </c>
      <c r="J68" s="350">
        <f>'C-SH-5A ConsCombSectGob,99-21'!J68/42</f>
        <v>13986.690476190477</v>
      </c>
      <c r="K68" s="350">
        <f>'C-SH-5A ConsCombSectGob,99-21'!K68/42</f>
        <v>17051.642857142859</v>
      </c>
      <c r="L68" s="350">
        <f>'C-SH-5A ConsCombSectGob,99-21'!L68/42</f>
        <v>17763.809523809523</v>
      </c>
      <c r="M68" s="350">
        <f>'C-SH-5A ConsCombSectGob,99-21'!M68/42</f>
        <v>20557.666666666668</v>
      </c>
      <c r="N68" s="350">
        <f>'C-SH-5A ConsCombSectGob,99-21'!N68/42</f>
        <v>26123.761904761905</v>
      </c>
      <c r="O68" s="350">
        <f>'C-SH-5A ConsCombSectGob,99-21'!O68/42</f>
        <v>26794.718095238099</v>
      </c>
      <c r="P68" s="350">
        <f>'C-SH-5A ConsCombSectGob,99-21'!P68/42</f>
        <v>28548.523809523809</v>
      </c>
      <c r="Q68" s="350">
        <f>'C-SH-5A ConsCombSectGob,99-21'!Q68/42</f>
        <v>35881.404761904763</v>
      </c>
      <c r="R68" s="350">
        <f>'C-SH-5A ConsCombSectGob,99-21'!R68/42</f>
        <v>31253.523809523809</v>
      </c>
      <c r="S68" s="350">
        <f>'C-SH-5A ConsCombSectGob,99-21'!S68/42</f>
        <v>29863.080476190473</v>
      </c>
      <c r="T68" s="350">
        <f>'C-SH-5A ConsCombSectGob,99-21'!T68/42</f>
        <v>31493.428571428572</v>
      </c>
      <c r="U68" s="350">
        <f>'C-SH-5A ConsCombSectGob,99-21'!U68/42</f>
        <v>34038.761904761908</v>
      </c>
      <c r="V68" s="350">
        <f>'C-SH-5A ConsCombSectGob,99-21'!V68/42</f>
        <v>34367.880952380954</v>
      </c>
      <c r="W68" s="350">
        <f>'C-SH-5A ConsCombSectGob,99-21'!W68/42</f>
        <v>58502.785714285717</v>
      </c>
      <c r="X68" s="350">
        <f>'C-SH-5A ConsCombSectGob,99-21'!X68/42</f>
        <v>49046.285714285717</v>
      </c>
      <c r="Y68" s="350">
        <f>'C-SH-5A ConsCombSectGob,99-21'!Y68/42</f>
        <v>51374.833333333336</v>
      </c>
      <c r="Z68" s="457">
        <f>RATE(-22,,-Y68,C68)</f>
        <v>7.3227420714815708E-2</v>
      </c>
      <c r="AA68" s="24"/>
      <c r="AB68" s="24"/>
      <c r="AC68" s="24"/>
      <c r="AD68" s="24"/>
      <c r="AE68" s="24"/>
      <c r="AF68" s="24"/>
      <c r="AG68" s="24"/>
      <c r="AH68" s="182"/>
    </row>
    <row r="69" spans="2:34" ht="15" customHeight="1" x14ac:dyDescent="0.25">
      <c r="B69" s="577" t="s">
        <v>94</v>
      </c>
      <c r="C69" s="361">
        <f>'C-SH-5A ConsCombSectGob,99-21'!C69/42</f>
        <v>10497.690476190477</v>
      </c>
      <c r="D69" s="349">
        <f>'C-SH-5A ConsCombSectGob,99-21'!D69/42</f>
        <v>11580.809523809523</v>
      </c>
      <c r="E69" s="350">
        <f>'C-SH-5A ConsCombSectGob,99-21'!E69/42</f>
        <v>9343.0238095238092</v>
      </c>
      <c r="F69" s="350">
        <f>'C-SH-5A ConsCombSectGob,99-21'!F69/42</f>
        <v>8879.6428571428569</v>
      </c>
      <c r="G69" s="350">
        <f>'C-SH-5A ConsCombSectGob,99-21'!G69/42</f>
        <v>9828.9523809523816</v>
      </c>
      <c r="H69" s="350">
        <f>'C-SH-5A ConsCombSectGob,99-21'!H69/42</f>
        <v>11945.785714285714</v>
      </c>
      <c r="I69" s="350">
        <f>'C-SH-5A ConsCombSectGob,99-21'!I69/42</f>
        <v>28697.809523809523</v>
      </c>
      <c r="J69" s="350">
        <f>'C-SH-5A ConsCombSectGob,99-21'!J69/42</f>
        <v>15215.785714285714</v>
      </c>
      <c r="K69" s="350">
        <f>'C-SH-5A ConsCombSectGob,99-21'!K69/42</f>
        <v>17178.142857142859</v>
      </c>
      <c r="L69" s="350">
        <f>'C-SH-5A ConsCombSectGob,99-21'!L69/42</f>
        <v>13594.690476190477</v>
      </c>
      <c r="M69" s="350">
        <f>'C-SH-5A ConsCombSectGob,99-21'!M69/42</f>
        <v>21579.166666666668</v>
      </c>
      <c r="N69" s="350">
        <f>'C-SH-5A ConsCombSectGob,99-21'!N69/42</f>
        <v>24391.357142857141</v>
      </c>
      <c r="O69" s="350">
        <f>'C-SH-5A ConsCombSectGob,99-21'!O69/42</f>
        <v>27937.183809523809</v>
      </c>
      <c r="P69" s="350">
        <f>'C-SH-5A ConsCombSectGob,99-21'!P69/42</f>
        <v>6879.7619047619046</v>
      </c>
      <c r="Q69" s="350">
        <f>'C-SH-5A ConsCombSectGob,99-21'!Q69/42</f>
        <v>30934.714285714286</v>
      </c>
      <c r="R69" s="350">
        <f>'C-SH-5A ConsCombSectGob,99-21'!R69/42</f>
        <v>29191.738095238095</v>
      </c>
      <c r="S69" s="350">
        <f>'C-SH-5A ConsCombSectGob,99-21'!S69/42</f>
        <v>29787.261904761905</v>
      </c>
      <c r="T69" s="350">
        <f>'C-SH-5A ConsCombSectGob,99-21'!T69/42</f>
        <v>32741.166666666668</v>
      </c>
      <c r="U69" s="350">
        <f>'C-SH-5A ConsCombSectGob,99-21'!U69/42</f>
        <v>34721.833333333336</v>
      </c>
      <c r="V69" s="350">
        <f>'C-SH-5A ConsCombSectGob,99-21'!V69/42</f>
        <v>45367.619047619046</v>
      </c>
      <c r="W69" s="350">
        <f>'C-SH-5A ConsCombSectGob,99-21'!W69/42</f>
        <v>58238.952380952382</v>
      </c>
      <c r="X69" s="350">
        <f>'C-SH-5A ConsCombSectGob,99-21'!X69/42</f>
        <v>48945.785714285717</v>
      </c>
      <c r="Y69" s="350">
        <f>'C-SH-5A ConsCombSectGob,99-21'!Y69/42</f>
        <v>53354.214285714283</v>
      </c>
      <c r="Z69" s="457">
        <f t="shared" ref="Z69:Z71" si="30">RATE(-22,,-Y69,C69)</f>
        <v>7.6699017120637536E-2</v>
      </c>
      <c r="AA69" s="24"/>
      <c r="AB69" s="24"/>
      <c r="AC69" s="24"/>
      <c r="AD69" s="24"/>
      <c r="AE69" s="24"/>
      <c r="AF69" s="24"/>
      <c r="AG69" s="24"/>
      <c r="AH69" s="182"/>
    </row>
    <row r="70" spans="2:34" ht="15" customHeight="1" x14ac:dyDescent="0.25">
      <c r="B70" s="577" t="s">
        <v>101</v>
      </c>
      <c r="C70" s="361">
        <f>'C-SH-5A ConsCombSectGob,99-21'!C70/42</f>
        <v>14574.880952380952</v>
      </c>
      <c r="D70" s="349">
        <f>'C-SH-5A ConsCombSectGob,99-21'!D70/42</f>
        <v>8703.8333333333339</v>
      </c>
      <c r="E70" s="350">
        <f>'C-SH-5A ConsCombSectGob,99-21'!E70/42</f>
        <v>7168.5238095238092</v>
      </c>
      <c r="F70" s="350">
        <f>'C-SH-5A ConsCombSectGob,99-21'!F70/42</f>
        <v>8455.9523809523816</v>
      </c>
      <c r="G70" s="350">
        <f>'C-SH-5A ConsCombSectGob,99-21'!G70/42</f>
        <v>10226.666666666666</v>
      </c>
      <c r="H70" s="350">
        <f>'C-SH-5A ConsCombSectGob,99-21'!H70/42</f>
        <v>13340.452380952382</v>
      </c>
      <c r="I70" s="350">
        <f>'C-SH-5A ConsCombSectGob,99-21'!I70/42</f>
        <v>28196.690476190477</v>
      </c>
      <c r="J70" s="350">
        <f>'C-SH-5A ConsCombSectGob,99-21'!J70/42</f>
        <v>12685.904761904761</v>
      </c>
      <c r="K70" s="350">
        <f>'C-SH-5A ConsCombSectGob,99-21'!K70/42</f>
        <v>14450.428571428571</v>
      </c>
      <c r="L70" s="350">
        <f>'C-SH-5A ConsCombSectGob,99-21'!L70/42</f>
        <v>23824.142857142859</v>
      </c>
      <c r="M70" s="350">
        <f>'C-SH-5A ConsCombSectGob,99-21'!M70/42</f>
        <v>21163.380952380954</v>
      </c>
      <c r="N70" s="350">
        <f>'C-SH-5A ConsCombSectGob,99-21'!N70/42</f>
        <v>24885.380952380954</v>
      </c>
      <c r="O70" s="350">
        <f>'C-SH-5A ConsCombSectGob,99-21'!O70/42</f>
        <v>28496.976904761905</v>
      </c>
      <c r="P70" s="350">
        <f>'C-SH-5A ConsCombSectGob,99-21'!P70/42</f>
        <v>26651.738095238095</v>
      </c>
      <c r="Q70" s="350">
        <f>'C-SH-5A ConsCombSectGob,99-21'!Q70/42</f>
        <v>30663.452380952382</v>
      </c>
      <c r="R70" s="350">
        <f>'C-SH-5A ConsCombSectGob,99-21'!R70/42</f>
        <v>30031.047619047618</v>
      </c>
      <c r="S70" s="350">
        <f>'C-SH-5A ConsCombSectGob,99-21'!S70/42</f>
        <v>30052.626904761906</v>
      </c>
      <c r="T70" s="350">
        <f>'C-SH-5A ConsCombSectGob,99-21'!T70/42</f>
        <v>31957.166666666668</v>
      </c>
      <c r="U70" s="350">
        <f>'C-SH-5A ConsCombSectGob,99-21'!U70/42</f>
        <v>33677.952380952382</v>
      </c>
      <c r="V70" s="350">
        <f>'C-SH-5A ConsCombSectGob,99-21'!V70/42</f>
        <v>50025.952380952382</v>
      </c>
      <c r="W70" s="350">
        <f>'C-SH-5A ConsCombSectGob,99-21'!W70/42</f>
        <v>55971.428571428572</v>
      </c>
      <c r="X70" s="350">
        <f>'C-SH-5A ConsCombSectGob,99-21'!X70/42</f>
        <v>54071.214285714283</v>
      </c>
      <c r="Y70" s="350">
        <f>'C-SH-5A ConsCombSectGob,99-21'!Y70/42</f>
        <v>52027.142857142855</v>
      </c>
      <c r="Z70" s="457">
        <f t="shared" si="30"/>
        <v>5.9544780433186728E-2</v>
      </c>
      <c r="AA70" s="24"/>
      <c r="AB70" s="24"/>
      <c r="AC70" s="24"/>
      <c r="AD70" s="24"/>
      <c r="AE70" s="24"/>
      <c r="AF70" s="24"/>
      <c r="AG70" s="24"/>
      <c r="AH70" s="182"/>
    </row>
    <row r="71" spans="2:34" ht="15" customHeight="1" x14ac:dyDescent="0.25">
      <c r="B71" s="570" t="s">
        <v>117</v>
      </c>
      <c r="C71" s="362">
        <f>SUM(C68:C70)</f>
        <v>35925.119047619046</v>
      </c>
      <c r="D71" s="363">
        <f>SUM(D68:D70)</f>
        <v>29181.476190476191</v>
      </c>
      <c r="E71" s="363">
        <f>SUM(E68:E70)</f>
        <v>26982.5</v>
      </c>
      <c r="F71" s="363">
        <f>SUM(F68:F70)</f>
        <v>26819.261904761905</v>
      </c>
      <c r="G71" s="364">
        <f t="shared" ref="G71:L71" si="31">+G68+G69+G70</f>
        <v>30931.738095238092</v>
      </c>
      <c r="H71" s="364">
        <f t="shared" si="31"/>
        <v>38802.5</v>
      </c>
      <c r="I71" s="364">
        <f t="shared" si="31"/>
        <v>88400.857142857145</v>
      </c>
      <c r="J71" s="364">
        <f t="shared" si="31"/>
        <v>41888.380952380954</v>
      </c>
      <c r="K71" s="364">
        <f t="shared" si="31"/>
        <v>48680.21428571429</v>
      </c>
      <c r="L71" s="364">
        <f t="shared" si="31"/>
        <v>55182.642857142855</v>
      </c>
      <c r="M71" s="364">
        <f t="shared" ref="M71:R71" si="32">+M68+M69+M70</f>
        <v>63300.21428571429</v>
      </c>
      <c r="N71" s="364">
        <f t="shared" si="32"/>
        <v>75400.5</v>
      </c>
      <c r="O71" s="364">
        <f t="shared" si="32"/>
        <v>83228.878809523812</v>
      </c>
      <c r="P71" s="364">
        <f t="shared" si="32"/>
        <v>62080.023809523802</v>
      </c>
      <c r="Q71" s="364">
        <f t="shared" si="32"/>
        <v>97479.571428571435</v>
      </c>
      <c r="R71" s="364">
        <f t="shared" si="32"/>
        <v>90476.309523809527</v>
      </c>
      <c r="S71" s="364">
        <f>'C-SH-5A ConsCombSectGob,99-21'!S71/42</f>
        <v>89702.96928571428</v>
      </c>
      <c r="T71" s="364">
        <f>'C-SH-5A ConsCombSectGob,99-21'!T71/42</f>
        <v>96191.761904761908</v>
      </c>
      <c r="U71" s="364">
        <f>'C-SH-5A ConsCombSectGob,99-21'!U71/42</f>
        <v>102438.54761904762</v>
      </c>
      <c r="V71" s="364">
        <f>'C-SH-5A ConsCombSectGob,99-21'!V71/42</f>
        <v>129761.45238095238</v>
      </c>
      <c r="W71" s="364">
        <f>'C-SH-5A ConsCombSectGob,99-21'!W71/42</f>
        <v>172713.16666666666</v>
      </c>
      <c r="X71" s="364">
        <f>'C-SH-5A ConsCombSectGob,99-21'!X71/42</f>
        <v>152063.28571428571</v>
      </c>
      <c r="Y71" s="364">
        <f>'C-SH-5A ConsCombSectGob,99-21'!Y71/42</f>
        <v>156756.19047619047</v>
      </c>
      <c r="Z71" s="458">
        <f t="shared" si="30"/>
        <v>6.9259264941465518E-2</v>
      </c>
      <c r="AA71" s="78"/>
      <c r="AB71" s="78"/>
      <c r="AC71" s="78"/>
      <c r="AD71" s="78"/>
      <c r="AE71" s="78"/>
      <c r="AF71" s="78"/>
      <c r="AG71" s="78"/>
      <c r="AH71" s="183"/>
    </row>
    <row r="72" spans="2:34" ht="15" customHeight="1" x14ac:dyDescent="0.25">
      <c r="B72" s="577"/>
      <c r="C72" s="348"/>
      <c r="D72" s="349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181"/>
      <c r="AA72" s="24"/>
      <c r="AB72" s="24"/>
      <c r="AC72" s="24"/>
      <c r="AD72" s="24"/>
      <c r="AE72" s="24"/>
      <c r="AF72" s="24"/>
      <c r="AG72" s="24"/>
      <c r="AH72" s="182"/>
    </row>
    <row r="73" spans="2:34" ht="15" customHeight="1" x14ac:dyDescent="0.25">
      <c r="B73" s="577" t="s">
        <v>95</v>
      </c>
      <c r="C73" s="361">
        <f>'C-SH-5A ConsCombSectGob,99-21'!C73/42</f>
        <v>10733.833333333334</v>
      </c>
      <c r="D73" s="349">
        <f>'C-SH-5A ConsCombSectGob,99-21'!D73/42</f>
        <v>10934.523809523809</v>
      </c>
      <c r="E73" s="350">
        <f>'C-SH-5A ConsCombSectGob,99-21'!E73/42</f>
        <v>8962.8333333333339</v>
      </c>
      <c r="F73" s="350">
        <f>'C-SH-5A ConsCombSectGob,99-21'!F73/42</f>
        <v>8480.2142857142862</v>
      </c>
      <c r="G73" s="350">
        <f>'C-SH-5A ConsCombSectGob,99-21'!G73/42</f>
        <v>10929.952380952382</v>
      </c>
      <c r="H73" s="350">
        <f>'C-SH-5A ConsCombSectGob,99-21'!H73/42</f>
        <v>11846.642857142857</v>
      </c>
      <c r="I73" s="350">
        <f>'C-SH-5A ConsCombSectGob,99-21'!I73/42</f>
        <v>26745.166666666668</v>
      </c>
      <c r="J73" s="350">
        <f>'C-SH-5A ConsCombSectGob,99-21'!J73/42</f>
        <v>15243.833333333334</v>
      </c>
      <c r="K73" s="350">
        <f>'C-SH-5A ConsCombSectGob,99-21'!K73/42</f>
        <v>16331.119047619048</v>
      </c>
      <c r="L73" s="350">
        <f>'C-SH-5A ConsCombSectGob,99-21'!L73/42</f>
        <v>20188.833333333332</v>
      </c>
      <c r="M73" s="350">
        <f>'C-SH-5A ConsCombSectGob,99-21'!M73/42</f>
        <v>15187.738095238095</v>
      </c>
      <c r="N73" s="350">
        <f>'C-SH-5A ConsCombSectGob,99-21'!N73/42</f>
        <v>25858.023809523809</v>
      </c>
      <c r="O73" s="350">
        <f>'C-SH-5A ConsCombSectGob,99-21'!O73/42</f>
        <v>29823.695238095235</v>
      </c>
      <c r="P73" s="350">
        <f>'C-SH-5A ConsCombSectGob,99-21'!P73/42</f>
        <v>30248.523809523809</v>
      </c>
      <c r="Q73" s="350">
        <f>'C-SH-5A ConsCombSectGob,99-21'!Q73/42</f>
        <v>35099.595238095237</v>
      </c>
      <c r="R73" s="350">
        <f>'C-SH-5A ConsCombSectGob,99-21'!R73/42</f>
        <v>31252.166666666668</v>
      </c>
      <c r="S73" s="350">
        <f>'C-SH-5A ConsCombSectGob,99-21'!S73/42</f>
        <v>32746.514285714289</v>
      </c>
      <c r="T73" s="350">
        <f>'C-SH-5A ConsCombSectGob,99-21'!T73/42</f>
        <v>34234.880952380954</v>
      </c>
      <c r="U73" s="350">
        <f>'C-SH-5A ConsCombSectGob,99-21'!U73/42</f>
        <v>34402.476190476191</v>
      </c>
      <c r="V73" s="350">
        <f>'C-SH-5A ConsCombSectGob,99-21'!V73/42</f>
        <v>61896.190476190473</v>
      </c>
      <c r="W73" s="350">
        <f>'C-SH-5A ConsCombSectGob,99-21'!W73/42</f>
        <v>61894.023809523809</v>
      </c>
      <c r="X73" s="350">
        <f>'C-SH-5A ConsCombSectGob,99-21'!X73/42</f>
        <v>55587.476190476191</v>
      </c>
      <c r="Y73" s="350">
        <f>'C-SH-5A ConsCombSectGob,99-21'!Y73/42</f>
        <v>51067.214285714283</v>
      </c>
      <c r="Z73" s="457">
        <f>RATE(-22,,-Y73,C73)</f>
        <v>7.3471040392576112E-2</v>
      </c>
      <c r="AA73" s="24"/>
      <c r="AB73" s="24"/>
      <c r="AC73" s="24"/>
      <c r="AD73" s="24"/>
      <c r="AE73" s="24"/>
      <c r="AF73" s="24"/>
      <c r="AG73" s="24"/>
      <c r="AH73" s="182"/>
    </row>
    <row r="74" spans="2:34" ht="15" customHeight="1" x14ac:dyDescent="0.25">
      <c r="B74" s="577" t="s">
        <v>96</v>
      </c>
      <c r="C74" s="361">
        <f>'C-SH-5A ConsCombSectGob,99-21'!C74/42</f>
        <v>9515.5</v>
      </c>
      <c r="D74" s="349">
        <f>'C-SH-5A ConsCombSectGob,99-21'!D74/42</f>
        <v>10261.904761904761</v>
      </c>
      <c r="E74" s="350">
        <f>'C-SH-5A ConsCombSectGob,99-21'!E74/42</f>
        <v>10025.238095238095</v>
      </c>
      <c r="F74" s="350">
        <f>'C-SH-5A ConsCombSectGob,99-21'!F74/42</f>
        <v>9687.0476190476184</v>
      </c>
      <c r="G74" s="350">
        <f>'C-SH-5A ConsCombSectGob,99-21'!G74/42</f>
        <v>8854.1904761904771</v>
      </c>
      <c r="H74" s="350">
        <f>'C-SH-5A ConsCombSectGob,99-21'!H74/42</f>
        <v>13776.857142857143</v>
      </c>
      <c r="I74" s="350">
        <f>'C-SH-5A ConsCombSectGob,99-21'!I74/42</f>
        <v>29773.190476190477</v>
      </c>
      <c r="J74" s="350">
        <f>'C-SH-5A ConsCombSectGob,99-21'!J74/42</f>
        <v>10772.666666666666</v>
      </c>
      <c r="K74" s="350">
        <f>'C-SH-5A ConsCombSectGob,99-21'!K74/42</f>
        <v>17832.404761904763</v>
      </c>
      <c r="L74" s="350">
        <f>'C-SH-5A ConsCombSectGob,99-21'!L74/42</f>
        <v>18111.047619047618</v>
      </c>
      <c r="M74" s="350">
        <f>'C-SH-5A ConsCombSectGob,99-21'!M74/42</f>
        <v>27660.714285714286</v>
      </c>
      <c r="N74" s="350">
        <f>'C-SH-5A ConsCombSectGob,99-21'!N74/42</f>
        <v>22200.547619047618</v>
      </c>
      <c r="O74" s="350">
        <f>'C-SH-5A ConsCombSectGob,99-21'!O74/42</f>
        <v>23934.801666666666</v>
      </c>
      <c r="P74" s="350">
        <f>'C-SH-5A ConsCombSectGob,99-21'!P74/42</f>
        <v>29064.642857142859</v>
      </c>
      <c r="Q74" s="350">
        <f>'C-SH-5A ConsCombSectGob,99-21'!Q74/42</f>
        <v>37964.785714285717</v>
      </c>
      <c r="R74" s="350">
        <f>'C-SH-5A ConsCombSectGob,99-21'!R74/42</f>
        <v>26479.738095238095</v>
      </c>
      <c r="S74" s="350">
        <f>'C-SH-5A ConsCombSectGob,99-21'!S74/42</f>
        <v>27793.372142857141</v>
      </c>
      <c r="T74" s="350">
        <f>'C-SH-5A ConsCombSectGob,99-21'!T74/42</f>
        <v>29670.666666666668</v>
      </c>
      <c r="U74" s="350">
        <f>'C-SH-5A ConsCombSectGob,99-21'!U74/42</f>
        <v>30538.333333333332</v>
      </c>
      <c r="V74" s="350">
        <f>'C-SH-5A ConsCombSectGob,99-21'!V74/42</f>
        <v>56489.738095238092</v>
      </c>
      <c r="W74" s="350">
        <f>'C-SH-5A ConsCombSectGob,99-21'!W74/42</f>
        <v>54932.595238095237</v>
      </c>
      <c r="X74" s="350">
        <f>'C-SH-5A ConsCombSectGob,99-21'!X74/42</f>
        <v>49736.738095238092</v>
      </c>
      <c r="Y74" s="350">
        <f>'C-SH-5A ConsCombSectGob,99-21'!Y74/42</f>
        <v>47932.166666666664</v>
      </c>
      <c r="Z74" s="457">
        <f t="shared" ref="Z74:Z76" si="33">RATE(-22,,-Y74,C74)</f>
        <v>7.6261921015749135E-2</v>
      </c>
      <c r="AA74" s="24"/>
      <c r="AB74" s="24"/>
      <c r="AC74" s="24"/>
      <c r="AD74" s="24"/>
      <c r="AE74" s="24"/>
      <c r="AF74" s="24"/>
      <c r="AG74" s="24"/>
      <c r="AH74" s="182"/>
    </row>
    <row r="75" spans="2:34" ht="15" customHeight="1" x14ac:dyDescent="0.25">
      <c r="B75" s="577" t="s">
        <v>97</v>
      </c>
      <c r="C75" s="361">
        <f>'C-SH-5A ConsCombSectGob,99-21'!C75/42</f>
        <v>14541.190476190477</v>
      </c>
      <c r="D75" s="349">
        <f>'C-SH-5A ConsCombSectGob,99-21'!D75/42</f>
        <v>11786.952380952382</v>
      </c>
      <c r="E75" s="350">
        <f>'C-SH-5A ConsCombSectGob,99-21'!E75/42</f>
        <v>7871.9285714285716</v>
      </c>
      <c r="F75" s="350">
        <f>'C-SH-5A ConsCombSectGob,99-21'!F75/42</f>
        <v>9390.5952380952385</v>
      </c>
      <c r="G75" s="350">
        <f>'C-SH-5A ConsCombSectGob,99-21'!G75/42</f>
        <v>10440.833333333334</v>
      </c>
      <c r="H75" s="350">
        <f>'C-SH-5A ConsCombSectGob,99-21'!H75/42</f>
        <v>14036.619047619048</v>
      </c>
      <c r="I75" s="350">
        <f>'C-SH-5A ConsCombSectGob,99-21'!I75/42</f>
        <v>35165.976190476191</v>
      </c>
      <c r="J75" s="350">
        <f>'C-SH-5A ConsCombSectGob,99-21'!J75/42</f>
        <v>14605.380952380952</v>
      </c>
      <c r="K75" s="350">
        <f>'C-SH-5A ConsCombSectGob,99-21'!K75/42</f>
        <v>14629.476190476191</v>
      </c>
      <c r="L75" s="350">
        <f>'C-SH-5A ConsCombSectGob,99-21'!L75/42</f>
        <v>18916.095238095237</v>
      </c>
      <c r="M75" s="350">
        <f>'C-SH-5A ConsCombSectGob,99-21'!M75/42</f>
        <v>39030.190476190473</v>
      </c>
      <c r="N75" s="350">
        <f>'C-SH-5A ConsCombSectGob,99-21'!N75/42</f>
        <v>24458.047619047618</v>
      </c>
      <c r="O75" s="350">
        <f>'C-SH-5A ConsCombSectGob,99-21'!O75/42</f>
        <v>26473.367619047618</v>
      </c>
      <c r="P75" s="350">
        <f>'C-SH-5A ConsCombSectGob,99-21'!P75/42</f>
        <v>28827.809523809523</v>
      </c>
      <c r="Q75" s="350">
        <f>'C-SH-5A ConsCombSectGob,99-21'!Q75/42</f>
        <v>65758.717380952381</v>
      </c>
      <c r="R75" s="350">
        <f>'C-SH-5A ConsCombSectGob,99-21'!R75/42</f>
        <v>28825.047619047618</v>
      </c>
      <c r="S75" s="350">
        <f>'C-SH-5A ConsCombSectGob,99-21'!S75/42</f>
        <v>30451.833333333332</v>
      </c>
      <c r="T75" s="350">
        <f>'C-SH-5A ConsCombSectGob,99-21'!T75/42</f>
        <v>30272.666666666668</v>
      </c>
      <c r="U75" s="350">
        <f>'C-SH-5A ConsCombSectGob,99-21'!U75/42</f>
        <v>32015.666666666668</v>
      </c>
      <c r="V75" s="350">
        <f>'C-SH-5A ConsCombSectGob,99-21'!V75/42</f>
        <v>54959.666666666664</v>
      </c>
      <c r="W75" s="350">
        <f>'C-SH-5A ConsCombSectGob,99-21'!W75/42</f>
        <v>56596.595238095237</v>
      </c>
      <c r="X75" s="350">
        <f>'C-SH-5A ConsCombSectGob,99-21'!X75/42</f>
        <v>54429.738095238092</v>
      </c>
      <c r="Y75" s="350">
        <f>'C-SH-5A ConsCombSectGob,99-21'!Y75/42</f>
        <v>52049.166666666664</v>
      </c>
      <c r="Z75" s="457">
        <f t="shared" si="33"/>
        <v>5.9676627014606319E-2</v>
      </c>
      <c r="AA75" s="24"/>
      <c r="AB75" s="24"/>
      <c r="AC75" s="24"/>
      <c r="AD75" s="24"/>
      <c r="AE75" s="24"/>
      <c r="AF75" s="24"/>
      <c r="AG75" s="24"/>
      <c r="AH75" s="182"/>
    </row>
    <row r="76" spans="2:34" ht="15" customHeight="1" x14ac:dyDescent="0.25">
      <c r="B76" s="570" t="s">
        <v>118</v>
      </c>
      <c r="C76" s="362">
        <f>SUM(C73:C75)</f>
        <v>34790.523809523816</v>
      </c>
      <c r="D76" s="363">
        <f>SUM(D73:D75)</f>
        <v>32983.380952380954</v>
      </c>
      <c r="E76" s="363">
        <f>SUM(E73:E75)</f>
        <v>26860</v>
      </c>
      <c r="F76" s="363">
        <f>SUM(F73:F75)</f>
        <v>27557.857142857145</v>
      </c>
      <c r="G76" s="364">
        <f t="shared" ref="G76:R76" si="34">+G73+G74+G75</f>
        <v>30224.976190476191</v>
      </c>
      <c r="H76" s="364">
        <f t="shared" si="34"/>
        <v>39660.119047619046</v>
      </c>
      <c r="I76" s="364">
        <f t="shared" si="34"/>
        <v>91684.333333333343</v>
      </c>
      <c r="J76" s="364">
        <f t="shared" si="34"/>
        <v>40621.880952380954</v>
      </c>
      <c r="K76" s="364">
        <f t="shared" si="34"/>
        <v>48793</v>
      </c>
      <c r="L76" s="364">
        <f t="shared" si="34"/>
        <v>57215.976190476184</v>
      </c>
      <c r="M76" s="364">
        <f t="shared" si="34"/>
        <v>81878.642857142855</v>
      </c>
      <c r="N76" s="364">
        <f t="shared" si="34"/>
        <v>72516.619047619053</v>
      </c>
      <c r="O76" s="364">
        <f t="shared" si="34"/>
        <v>80231.86452380952</v>
      </c>
      <c r="P76" s="364">
        <f t="shared" si="34"/>
        <v>88140.976190476198</v>
      </c>
      <c r="Q76" s="364">
        <f t="shared" si="34"/>
        <v>138823.09833333333</v>
      </c>
      <c r="R76" s="364">
        <f t="shared" si="34"/>
        <v>86556.952380952382</v>
      </c>
      <c r="S76" s="364">
        <f>'C-SH-5A ConsCombSectGob,99-21'!S76/42</f>
        <v>90991.719761904766</v>
      </c>
      <c r="T76" s="364">
        <f>'C-SH-5A ConsCombSectGob,99-21'!T76/42</f>
        <v>94178.21428571429</v>
      </c>
      <c r="U76" s="364">
        <f>'C-SH-5A ConsCombSectGob,99-21'!U76/42</f>
        <v>96956.476190476184</v>
      </c>
      <c r="V76" s="364">
        <f>'C-SH-5A ConsCombSectGob,99-21'!V76/42</f>
        <v>173345.59523809524</v>
      </c>
      <c r="W76" s="364">
        <f>'C-SH-5A ConsCombSectGob,99-21'!W76/42</f>
        <v>173423.21428571429</v>
      </c>
      <c r="X76" s="364">
        <f>'C-SH-5A ConsCombSectGob,99-21'!X76/42</f>
        <v>159753.95238095237</v>
      </c>
      <c r="Y76" s="364">
        <f>'C-SH-5A ConsCombSectGob,99-21'!Y76/42</f>
        <v>151048.54761904763</v>
      </c>
      <c r="Z76" s="458">
        <f t="shared" si="33"/>
        <v>6.9016343299873911E-2</v>
      </c>
      <c r="AA76" s="78"/>
      <c r="AB76" s="78"/>
      <c r="AC76" s="78"/>
      <c r="AD76" s="78"/>
      <c r="AE76" s="78"/>
      <c r="AF76" s="78"/>
      <c r="AG76" s="78"/>
      <c r="AH76" s="183"/>
    </row>
    <row r="77" spans="2:34" ht="15" customHeight="1" thickBot="1" x14ac:dyDescent="0.3">
      <c r="B77" s="585"/>
      <c r="C77" s="352"/>
      <c r="D77" s="353"/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658"/>
      <c r="AA77" s="24"/>
      <c r="AB77" s="24"/>
      <c r="AC77" s="24"/>
      <c r="AD77" s="24"/>
      <c r="AE77" s="24"/>
      <c r="AF77" s="24"/>
      <c r="AG77" s="24"/>
      <c r="AH77" s="182"/>
    </row>
    <row r="78" spans="2:34" ht="15" customHeight="1" thickBot="1" x14ac:dyDescent="0.3">
      <c r="B78" s="557" t="s">
        <v>119</v>
      </c>
      <c r="C78" s="365">
        <f t="shared" ref="C78:L78" si="35">+C61+C66+C71+C76</f>
        <v>145985.04761904763</v>
      </c>
      <c r="D78" s="366">
        <f t="shared" si="35"/>
        <v>102842.52380952382</v>
      </c>
      <c r="E78" s="366">
        <f t="shared" si="35"/>
        <v>112171.40476190476</v>
      </c>
      <c r="F78" s="366">
        <f t="shared" si="35"/>
        <v>101924.9761904762</v>
      </c>
      <c r="G78" s="367">
        <f t="shared" si="35"/>
        <v>114057.35714285713</v>
      </c>
      <c r="H78" s="367">
        <f t="shared" si="35"/>
        <v>162963.35714285713</v>
      </c>
      <c r="I78" s="367">
        <f t="shared" si="35"/>
        <v>297257.73809523811</v>
      </c>
      <c r="J78" s="367">
        <f t="shared" si="35"/>
        <v>217897.33333333331</v>
      </c>
      <c r="K78" s="367">
        <f t="shared" si="35"/>
        <v>183733.5</v>
      </c>
      <c r="L78" s="367">
        <f t="shared" si="35"/>
        <v>206844.90476190476</v>
      </c>
      <c r="M78" s="367">
        <f t="shared" ref="M78:S78" si="36">+M61+M66+M71+M76</f>
        <v>266076.64285714284</v>
      </c>
      <c r="N78" s="367">
        <f t="shared" si="36"/>
        <v>271764.3716666667</v>
      </c>
      <c r="O78" s="367">
        <f t="shared" si="36"/>
        <v>309918.48666666669</v>
      </c>
      <c r="P78" s="367">
        <f t="shared" si="36"/>
        <v>306593</v>
      </c>
      <c r="Q78" s="367">
        <f t="shared" si="36"/>
        <v>381342.00309523806</v>
      </c>
      <c r="R78" s="367">
        <f t="shared" si="36"/>
        <v>629632.57904761913</v>
      </c>
      <c r="S78" s="366">
        <f t="shared" si="36"/>
        <v>350868.33380952384</v>
      </c>
      <c r="T78" s="366">
        <f t="shared" ref="T78:U78" si="37">+T61+T66+T71+T76</f>
        <v>369361</v>
      </c>
      <c r="U78" s="366">
        <f t="shared" si="37"/>
        <v>395320.26190476189</v>
      </c>
      <c r="V78" s="366">
        <f t="shared" ref="V78:W78" si="38">+V61+V66+V71+V76</f>
        <v>501457.88095238095</v>
      </c>
      <c r="W78" s="366">
        <f t="shared" si="38"/>
        <v>689886.07142857148</v>
      </c>
      <c r="X78" s="366">
        <f t="shared" ref="X78:Y78" si="39">+X61+X66+X71+X76</f>
        <v>598558.07142857136</v>
      </c>
      <c r="Y78" s="366">
        <f t="shared" si="39"/>
        <v>620868.19047619053</v>
      </c>
      <c r="Z78" s="459">
        <f>RATE(-22,,-Y78,C78)</f>
        <v>6.8013802096461365E-2</v>
      </c>
      <c r="AA78" s="78"/>
      <c r="AB78" s="78"/>
      <c r="AC78" s="78"/>
      <c r="AD78" s="78"/>
      <c r="AE78" s="78"/>
      <c r="AF78" s="78"/>
      <c r="AG78" s="78"/>
      <c r="AH78" s="183"/>
    </row>
    <row r="80" spans="2:34" s="14" customFormat="1" ht="15" customHeight="1" x14ac:dyDescent="0.25">
      <c r="B80" s="63" t="s">
        <v>219</v>
      </c>
      <c r="Z80" s="48"/>
      <c r="AH80" s="48"/>
    </row>
  </sheetData>
  <mergeCells count="12">
    <mergeCell ref="B55:B56"/>
    <mergeCell ref="C55:Z55"/>
    <mergeCell ref="AA55:AH55"/>
    <mergeCell ref="B30:B31"/>
    <mergeCell ref="C30:Z30"/>
    <mergeCell ref="B1:Z1"/>
    <mergeCell ref="B2:Z2"/>
    <mergeCell ref="B3:Z3"/>
    <mergeCell ref="B4:Z4"/>
    <mergeCell ref="AI5:AK5"/>
    <mergeCell ref="B5:B6"/>
    <mergeCell ref="C5:Z5"/>
  </mergeCells>
  <phoneticPr fontId="10" type="noConversion"/>
  <pageMargins left="0.75" right="0.75" top="1" bottom="1" header="0" footer="0"/>
  <pageSetup scale="2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J554"/>
  <sheetViews>
    <sheetView topLeftCell="B1" workbookViewId="0">
      <selection activeCell="C10" sqref="C10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5.6640625" style="13" customWidth="1"/>
    <col min="3" max="4" width="15.6640625" style="13" customWidth="1"/>
    <col min="5" max="5" width="13.44140625" style="13" customWidth="1"/>
    <col min="6" max="6" width="15.6640625" style="13" customWidth="1"/>
    <col min="7" max="7" width="14.5546875" style="13" customWidth="1"/>
    <col min="8" max="8" width="15.6640625" style="13" customWidth="1"/>
    <col min="9" max="9" width="13.33203125" style="13" customWidth="1"/>
    <col min="10" max="10" width="17.5546875" style="13" customWidth="1"/>
    <col min="11" max="16384" width="11.44140625" style="13"/>
  </cols>
  <sheetData>
    <row r="1" spans="2:10" ht="15" customHeight="1" x14ac:dyDescent="0.25">
      <c r="B1" s="864" t="s">
        <v>190</v>
      </c>
      <c r="C1" s="864"/>
      <c r="D1" s="864"/>
      <c r="E1" s="864"/>
      <c r="F1" s="864"/>
      <c r="G1" s="864"/>
      <c r="H1" s="864"/>
      <c r="I1" s="864"/>
      <c r="J1" s="864"/>
    </row>
    <row r="2" spans="2:10" ht="15" customHeight="1" x14ac:dyDescent="0.25">
      <c r="B2" s="864" t="s">
        <v>137</v>
      </c>
      <c r="C2" s="864"/>
      <c r="D2" s="864"/>
      <c r="E2" s="864"/>
      <c r="F2" s="864"/>
      <c r="G2" s="864"/>
      <c r="H2" s="864"/>
      <c r="I2" s="864"/>
      <c r="J2" s="864"/>
    </row>
    <row r="3" spans="2:10" ht="15" customHeight="1" x14ac:dyDescent="0.25">
      <c r="B3" s="864">
        <v>2021</v>
      </c>
      <c r="C3" s="864"/>
      <c r="D3" s="864"/>
      <c r="E3" s="864"/>
      <c r="F3" s="864"/>
      <c r="G3" s="864"/>
      <c r="H3" s="864"/>
      <c r="I3" s="864"/>
      <c r="J3" s="864"/>
    </row>
    <row r="4" spans="2:10" ht="15" customHeight="1" thickBot="1" x14ac:dyDescent="0.3">
      <c r="B4" s="929" t="s">
        <v>135</v>
      </c>
      <c r="C4" s="929"/>
      <c r="D4" s="929"/>
      <c r="E4" s="929"/>
      <c r="F4" s="929"/>
      <c r="G4" s="929"/>
      <c r="H4" s="929"/>
      <c r="I4" s="929"/>
      <c r="J4" s="929"/>
    </row>
    <row r="5" spans="2:10" ht="15" customHeight="1" thickBot="1" x14ac:dyDescent="0.3">
      <c r="B5" s="594" t="s">
        <v>100</v>
      </c>
      <c r="C5" s="824" t="s">
        <v>52</v>
      </c>
      <c r="D5" s="824" t="s">
        <v>123</v>
      </c>
      <c r="E5" s="824" t="s">
        <v>181</v>
      </c>
      <c r="F5" s="824" t="s">
        <v>131</v>
      </c>
      <c r="G5" s="824" t="s">
        <v>232</v>
      </c>
      <c r="H5" s="824" t="s">
        <v>233</v>
      </c>
      <c r="I5" s="824" t="s">
        <v>84</v>
      </c>
      <c r="J5" s="824" t="s">
        <v>78</v>
      </c>
    </row>
    <row r="6" spans="2:10" ht="15" customHeight="1" x14ac:dyDescent="0.25">
      <c r="B6" s="574"/>
      <c r="C6" s="264"/>
      <c r="D6" s="85"/>
      <c r="E6" s="305"/>
      <c r="F6" s="305"/>
      <c r="G6" s="305"/>
      <c r="H6" s="257"/>
      <c r="I6" s="305"/>
      <c r="J6" s="257"/>
    </row>
    <row r="7" spans="2:10" ht="15" customHeight="1" x14ac:dyDescent="0.25">
      <c r="B7" s="570" t="s">
        <v>103</v>
      </c>
      <c r="C7" s="265">
        <f t="shared" ref="C7:H7" si="0">+C13+C18+C23+C28</f>
        <v>481580</v>
      </c>
      <c r="D7" s="86">
        <f t="shared" si="0"/>
        <v>3594456.2</v>
      </c>
      <c r="E7" s="86">
        <f t="shared" si="0"/>
        <v>0</v>
      </c>
      <c r="F7" s="86">
        <f t="shared" si="0"/>
        <v>0</v>
      </c>
      <c r="G7" s="86">
        <f t="shared" si="0"/>
        <v>0</v>
      </c>
      <c r="H7" s="86">
        <f t="shared" si="0"/>
        <v>0</v>
      </c>
      <c r="I7" s="86">
        <f>+I13+I18+I23+I28</f>
        <v>0</v>
      </c>
      <c r="J7" s="86">
        <f>+J13+J18+J23+J28</f>
        <v>4076036.2</v>
      </c>
    </row>
    <row r="8" spans="2:10" ht="15" customHeight="1" thickBot="1" x14ac:dyDescent="0.3">
      <c r="B8" s="593"/>
      <c r="C8" s="266"/>
      <c r="D8" s="87"/>
      <c r="E8" s="306"/>
      <c r="F8" s="306"/>
      <c r="G8" s="306"/>
      <c r="H8" s="259"/>
      <c r="I8" s="306"/>
      <c r="J8" s="259"/>
    </row>
    <row r="9" spans="2:10" ht="15" customHeight="1" x14ac:dyDescent="0.25">
      <c r="B9" s="579"/>
      <c r="C9" s="267"/>
      <c r="D9" s="88"/>
      <c r="E9" s="307"/>
      <c r="F9" s="307"/>
      <c r="G9" s="307"/>
      <c r="H9" s="258"/>
      <c r="I9" s="307"/>
      <c r="J9" s="258"/>
    </row>
    <row r="10" spans="2:10" ht="15" customHeight="1" x14ac:dyDescent="0.25">
      <c r="B10" s="577" t="s">
        <v>86</v>
      </c>
      <c r="C10" s="268">
        <v>19400</v>
      </c>
      <c r="D10" s="89">
        <v>180484</v>
      </c>
      <c r="E10" s="89"/>
      <c r="F10" s="89"/>
      <c r="G10" s="89"/>
      <c r="H10" s="261"/>
      <c r="I10" s="89"/>
      <c r="J10" s="261">
        <f>+C10+D10+E10+F10+G10+H10+I10</f>
        <v>199884</v>
      </c>
    </row>
    <row r="11" spans="2:10" ht="15" customHeight="1" x14ac:dyDescent="0.25">
      <c r="B11" s="577" t="s">
        <v>87</v>
      </c>
      <c r="C11" s="268">
        <v>34900</v>
      </c>
      <c r="D11" s="89">
        <v>156301</v>
      </c>
      <c r="E11" s="89"/>
      <c r="F11" s="89"/>
      <c r="G11" s="89"/>
      <c r="H11" s="261"/>
      <c r="I11" s="89"/>
      <c r="J11" s="261">
        <f>+C11+D11+E11+F11+G11+H11+I11</f>
        <v>191201</v>
      </c>
    </row>
    <row r="12" spans="2:10" ht="15" customHeight="1" x14ac:dyDescent="0.25">
      <c r="B12" s="577" t="s">
        <v>88</v>
      </c>
      <c r="C12" s="268">
        <v>43900</v>
      </c>
      <c r="D12" s="89">
        <v>228484</v>
      </c>
      <c r="E12" s="89"/>
      <c r="F12" s="89"/>
      <c r="G12" s="89"/>
      <c r="H12" s="261"/>
      <c r="I12" s="89"/>
      <c r="J12" s="261">
        <f>+C12+D12+E12+F12+G12+H12+I12</f>
        <v>272384</v>
      </c>
    </row>
    <row r="13" spans="2:10" ht="15" customHeight="1" x14ac:dyDescent="0.25">
      <c r="B13" s="570" t="s">
        <v>138</v>
      </c>
      <c r="C13" s="269">
        <f t="shared" ref="C13:J13" si="1">SUM(C10:C12)</f>
        <v>98200</v>
      </c>
      <c r="D13" s="86">
        <f t="shared" si="1"/>
        <v>565269</v>
      </c>
      <c r="E13" s="86">
        <f t="shared" si="1"/>
        <v>0</v>
      </c>
      <c r="F13" s="86">
        <f t="shared" si="1"/>
        <v>0</v>
      </c>
      <c r="G13" s="86">
        <f t="shared" si="1"/>
        <v>0</v>
      </c>
      <c r="H13" s="86">
        <f t="shared" si="1"/>
        <v>0</v>
      </c>
      <c r="I13" s="86">
        <f t="shared" si="1"/>
        <v>0</v>
      </c>
      <c r="J13" s="86">
        <f t="shared" si="1"/>
        <v>663469</v>
      </c>
    </row>
    <row r="14" spans="2:10" ht="15" customHeight="1" x14ac:dyDescent="0.25">
      <c r="B14" s="577"/>
      <c r="C14" s="268"/>
      <c r="D14" s="89"/>
      <c r="E14" s="89"/>
      <c r="F14" s="89"/>
      <c r="G14" s="89"/>
      <c r="H14" s="260"/>
      <c r="I14" s="89"/>
      <c r="J14" s="260"/>
    </row>
    <row r="15" spans="2:10" ht="15" customHeight="1" x14ac:dyDescent="0.25">
      <c r="B15" s="577" t="s">
        <v>89</v>
      </c>
      <c r="C15" s="268">
        <v>40230</v>
      </c>
      <c r="D15" s="89">
        <v>373297</v>
      </c>
      <c r="E15" s="89"/>
      <c r="F15" s="89"/>
      <c r="G15" s="89"/>
      <c r="H15" s="261"/>
      <c r="I15" s="89">
        <v>0</v>
      </c>
      <c r="J15" s="261">
        <f>+C15+D15+E15+F15+G15+H15+I15</f>
        <v>413527</v>
      </c>
    </row>
    <row r="16" spans="2:10" ht="15" customHeight="1" x14ac:dyDescent="0.25">
      <c r="B16" s="577" t="s">
        <v>90</v>
      </c>
      <c r="C16" s="268">
        <v>33300</v>
      </c>
      <c r="D16" s="89">
        <v>316489</v>
      </c>
      <c r="E16" s="89"/>
      <c r="F16" s="89"/>
      <c r="G16" s="89"/>
      <c r="H16" s="261"/>
      <c r="I16" s="89"/>
      <c r="J16" s="261">
        <f>+C16+D16+E16+F16+G16+H16+I16</f>
        <v>349789</v>
      </c>
    </row>
    <row r="17" spans="2:10" ht="15" customHeight="1" x14ac:dyDescent="0.25">
      <c r="B17" s="577" t="s">
        <v>91</v>
      </c>
      <c r="C17" s="268">
        <v>43200</v>
      </c>
      <c r="D17" s="89">
        <v>311551</v>
      </c>
      <c r="E17" s="89"/>
      <c r="F17" s="89"/>
      <c r="G17" s="89"/>
      <c r="H17" s="261"/>
      <c r="I17" s="89"/>
      <c r="J17" s="261">
        <f>+C17+D17+E17+F17+G17+H17+I17</f>
        <v>354751</v>
      </c>
    </row>
    <row r="18" spans="2:10" ht="15" customHeight="1" x14ac:dyDescent="0.25">
      <c r="B18" s="570" t="s">
        <v>139</v>
      </c>
      <c r="C18" s="269">
        <f t="shared" ref="C18:J18" si="2">SUM(C15:C17)</f>
        <v>116730</v>
      </c>
      <c r="D18" s="86">
        <f t="shared" si="2"/>
        <v>1001337</v>
      </c>
      <c r="E18" s="86">
        <f t="shared" si="2"/>
        <v>0</v>
      </c>
      <c r="F18" s="86">
        <f t="shared" si="2"/>
        <v>0</v>
      </c>
      <c r="G18" s="86">
        <f t="shared" si="2"/>
        <v>0</v>
      </c>
      <c r="H18" s="86">
        <f t="shared" si="2"/>
        <v>0</v>
      </c>
      <c r="I18" s="86">
        <f t="shared" si="2"/>
        <v>0</v>
      </c>
      <c r="J18" s="86">
        <f t="shared" si="2"/>
        <v>1118067</v>
      </c>
    </row>
    <row r="19" spans="2:10" ht="15" customHeight="1" x14ac:dyDescent="0.25">
      <c r="B19" s="577"/>
      <c r="C19" s="268"/>
      <c r="D19" s="89"/>
      <c r="E19" s="89"/>
      <c r="F19" s="89"/>
      <c r="G19" s="89"/>
      <c r="H19" s="260"/>
      <c r="I19" s="89"/>
      <c r="J19" s="260"/>
    </row>
    <row r="20" spans="2:10" ht="15" customHeight="1" x14ac:dyDescent="0.25">
      <c r="B20" s="577" t="s">
        <v>93</v>
      </c>
      <c r="C20" s="268">
        <v>41000</v>
      </c>
      <c r="D20" s="89">
        <v>270259</v>
      </c>
      <c r="E20" s="89"/>
      <c r="F20" s="89"/>
      <c r="G20" s="89"/>
      <c r="H20" s="261"/>
      <c r="I20" s="89"/>
      <c r="J20" s="261">
        <f>+C20+D20+E20+F20+G20+H20+I20</f>
        <v>311259</v>
      </c>
    </row>
    <row r="21" spans="2:10" ht="15" customHeight="1" x14ac:dyDescent="0.25">
      <c r="B21" s="577" t="s">
        <v>94</v>
      </c>
      <c r="C21" s="268">
        <v>52100</v>
      </c>
      <c r="D21" s="89">
        <v>235192</v>
      </c>
      <c r="E21" s="89"/>
      <c r="F21" s="89"/>
      <c r="G21" s="89"/>
      <c r="H21" s="261"/>
      <c r="I21" s="89"/>
      <c r="J21" s="261">
        <f>+C21+D21+E21+F21+G21+H21+I21</f>
        <v>287292</v>
      </c>
    </row>
    <row r="22" spans="2:10" ht="15" customHeight="1" x14ac:dyDescent="0.25">
      <c r="B22" s="577" t="s">
        <v>101</v>
      </c>
      <c r="C22" s="268">
        <v>48400</v>
      </c>
      <c r="D22" s="89">
        <v>260333.2</v>
      </c>
      <c r="E22" s="89"/>
      <c r="F22" s="89"/>
      <c r="G22" s="89"/>
      <c r="H22" s="261"/>
      <c r="I22" s="89"/>
      <c r="J22" s="261">
        <f>+C22+D22+E22+F22+G22+H22+I22</f>
        <v>308733.2</v>
      </c>
    </row>
    <row r="23" spans="2:10" ht="15" customHeight="1" x14ac:dyDescent="0.25">
      <c r="B23" s="570" t="s">
        <v>140</v>
      </c>
      <c r="C23" s="269">
        <f t="shared" ref="C23:J23" si="3">SUM(C20:C22)</f>
        <v>141500</v>
      </c>
      <c r="D23" s="86">
        <f t="shared" si="3"/>
        <v>765784.2</v>
      </c>
      <c r="E23" s="86">
        <f t="shared" si="3"/>
        <v>0</v>
      </c>
      <c r="F23" s="86">
        <f t="shared" si="3"/>
        <v>0</v>
      </c>
      <c r="G23" s="86">
        <f t="shared" si="3"/>
        <v>0</v>
      </c>
      <c r="H23" s="86">
        <f t="shared" si="3"/>
        <v>0</v>
      </c>
      <c r="I23" s="86">
        <f t="shared" si="3"/>
        <v>0</v>
      </c>
      <c r="J23" s="86">
        <f t="shared" si="3"/>
        <v>907284.2</v>
      </c>
    </row>
    <row r="24" spans="2:10" ht="15" customHeight="1" x14ac:dyDescent="0.25">
      <c r="B24" s="577"/>
      <c r="C24" s="268"/>
      <c r="D24" s="89"/>
      <c r="E24" s="89"/>
      <c r="F24" s="89"/>
      <c r="G24" s="89"/>
      <c r="H24" s="260"/>
      <c r="I24" s="89"/>
      <c r="J24" s="260"/>
    </row>
    <row r="25" spans="2:10" ht="15" customHeight="1" x14ac:dyDescent="0.25">
      <c r="B25" s="577" t="s">
        <v>95</v>
      </c>
      <c r="C25" s="268">
        <v>38800</v>
      </c>
      <c r="D25" s="89">
        <v>540365</v>
      </c>
      <c r="E25" s="89"/>
      <c r="F25" s="89"/>
      <c r="G25" s="89"/>
      <c r="H25" s="261"/>
      <c r="I25" s="89"/>
      <c r="J25" s="261">
        <f>+C25+D25+E25+F25+G25+H25+I25</f>
        <v>579165</v>
      </c>
    </row>
    <row r="26" spans="2:10" ht="15" customHeight="1" x14ac:dyDescent="0.25">
      <c r="B26" s="577" t="s">
        <v>96</v>
      </c>
      <c r="C26" s="268">
        <v>40450</v>
      </c>
      <c r="D26" s="89">
        <v>336707</v>
      </c>
      <c r="E26" s="89"/>
      <c r="F26" s="89"/>
      <c r="G26" s="89"/>
      <c r="H26" s="261"/>
      <c r="I26" s="89"/>
      <c r="J26" s="261">
        <f>+C26+D26+E26+F26+G26+H26+I26</f>
        <v>377157</v>
      </c>
    </row>
    <row r="27" spans="2:10" ht="15" customHeight="1" x14ac:dyDescent="0.25">
      <c r="B27" s="577" t="s">
        <v>97</v>
      </c>
      <c r="C27" s="268">
        <v>45900</v>
      </c>
      <c r="D27" s="89">
        <v>384994</v>
      </c>
      <c r="E27" s="89"/>
      <c r="F27" s="89"/>
      <c r="G27" s="89"/>
      <c r="H27" s="89"/>
      <c r="I27" s="89"/>
      <c r="J27" s="261">
        <f>+C27+D27+E27+F27+G27+H27+I27</f>
        <v>430894</v>
      </c>
    </row>
    <row r="28" spans="2:10" ht="15" customHeight="1" x14ac:dyDescent="0.25">
      <c r="B28" s="570" t="s">
        <v>141</v>
      </c>
      <c r="C28" s="269">
        <f t="shared" ref="C28:J28" si="4">SUM(C25:C27)</f>
        <v>125150</v>
      </c>
      <c r="D28" s="86">
        <f t="shared" si="4"/>
        <v>1262066</v>
      </c>
      <c r="E28" s="86">
        <f t="shared" si="4"/>
        <v>0</v>
      </c>
      <c r="F28" s="86">
        <f t="shared" si="4"/>
        <v>0</v>
      </c>
      <c r="G28" s="86">
        <f t="shared" si="4"/>
        <v>0</v>
      </c>
      <c r="H28" s="86">
        <f t="shared" si="4"/>
        <v>0</v>
      </c>
      <c r="I28" s="86">
        <f t="shared" si="4"/>
        <v>0</v>
      </c>
      <c r="J28" s="86">
        <f t="shared" si="4"/>
        <v>1387216</v>
      </c>
    </row>
    <row r="29" spans="2:10" ht="15" customHeight="1" thickBot="1" x14ac:dyDescent="0.3">
      <c r="B29" s="593"/>
      <c r="C29" s="266"/>
      <c r="D29" s="87"/>
      <c r="E29" s="87"/>
      <c r="F29" s="87"/>
      <c r="G29" s="87"/>
      <c r="H29" s="327"/>
      <c r="I29" s="87"/>
      <c r="J29" s="327"/>
    </row>
    <row r="30" spans="2:10" ht="15" customHeight="1" x14ac:dyDescent="0.25">
      <c r="B30" s="14" t="s">
        <v>219</v>
      </c>
    </row>
    <row r="32" spans="2:10" ht="15" customHeight="1" x14ac:dyDescent="0.25">
      <c r="B32" s="864" t="s">
        <v>190</v>
      </c>
      <c r="C32" s="864"/>
      <c r="D32" s="864"/>
      <c r="E32" s="864"/>
      <c r="F32" s="864"/>
      <c r="G32" s="864"/>
      <c r="H32" s="864"/>
      <c r="I32" s="864"/>
      <c r="J32" s="864"/>
    </row>
    <row r="33" spans="2:10" ht="15" customHeight="1" x14ac:dyDescent="0.25">
      <c r="B33" s="864" t="s">
        <v>137</v>
      </c>
      <c r="C33" s="864"/>
      <c r="D33" s="864"/>
      <c r="E33" s="864"/>
      <c r="F33" s="864"/>
      <c r="G33" s="864"/>
      <c r="H33" s="864"/>
      <c r="I33" s="864"/>
      <c r="J33" s="864"/>
    </row>
    <row r="34" spans="2:10" ht="15" customHeight="1" x14ac:dyDescent="0.25">
      <c r="B34" s="864">
        <v>2020</v>
      </c>
      <c r="C34" s="864"/>
      <c r="D34" s="864"/>
      <c r="E34" s="864"/>
      <c r="F34" s="864"/>
      <c r="G34" s="864"/>
      <c r="H34" s="864"/>
      <c r="I34" s="864"/>
      <c r="J34" s="864"/>
    </row>
    <row r="35" spans="2:10" ht="15" customHeight="1" thickBot="1" x14ac:dyDescent="0.3">
      <c r="B35" s="929" t="s">
        <v>135</v>
      </c>
      <c r="C35" s="929"/>
      <c r="D35" s="929"/>
      <c r="E35" s="929"/>
      <c r="F35" s="929"/>
      <c r="G35" s="929"/>
      <c r="H35" s="929"/>
      <c r="I35" s="929"/>
      <c r="J35" s="929"/>
    </row>
    <row r="36" spans="2:10" ht="15" customHeight="1" thickBot="1" x14ac:dyDescent="0.3">
      <c r="B36" s="594" t="s">
        <v>100</v>
      </c>
      <c r="C36" s="802" t="s">
        <v>52</v>
      </c>
      <c r="D36" s="802" t="s">
        <v>123</v>
      </c>
      <c r="E36" s="802" t="s">
        <v>181</v>
      </c>
      <c r="F36" s="802" t="s">
        <v>131</v>
      </c>
      <c r="G36" s="802" t="s">
        <v>232</v>
      </c>
      <c r="H36" s="802" t="s">
        <v>233</v>
      </c>
      <c r="I36" s="802" t="s">
        <v>84</v>
      </c>
      <c r="J36" s="802" t="s">
        <v>78</v>
      </c>
    </row>
    <row r="37" spans="2:10" ht="15" customHeight="1" x14ac:dyDescent="0.25">
      <c r="B37" s="574"/>
      <c r="C37" s="264"/>
      <c r="D37" s="85"/>
      <c r="E37" s="305"/>
      <c r="F37" s="305"/>
      <c r="G37" s="305"/>
      <c r="H37" s="257"/>
      <c r="I37" s="305"/>
      <c r="J37" s="257"/>
    </row>
    <row r="38" spans="2:10" ht="15" customHeight="1" x14ac:dyDescent="0.25">
      <c r="B38" s="570" t="s">
        <v>103</v>
      </c>
      <c r="C38" s="265">
        <f t="shared" ref="C38:H38" si="5">+C44+C49+C54+C59</f>
        <v>287435</v>
      </c>
      <c r="D38" s="86">
        <f t="shared" si="5"/>
        <v>2804324</v>
      </c>
      <c r="E38" s="86">
        <f t="shared" si="5"/>
        <v>0</v>
      </c>
      <c r="F38" s="86">
        <f t="shared" si="5"/>
        <v>0</v>
      </c>
      <c r="G38" s="86">
        <f t="shared" si="5"/>
        <v>0</v>
      </c>
      <c r="H38" s="86">
        <f t="shared" si="5"/>
        <v>0</v>
      </c>
      <c r="I38" s="86">
        <f>+I44+I49+I54+I59</f>
        <v>0</v>
      </c>
      <c r="J38" s="86">
        <f>+J44+J49+J54+J59</f>
        <v>3091759</v>
      </c>
    </row>
    <row r="39" spans="2:10" ht="15" customHeight="1" thickBot="1" x14ac:dyDescent="0.3">
      <c r="B39" s="593"/>
      <c r="C39" s="266"/>
      <c r="D39" s="87"/>
      <c r="E39" s="306"/>
      <c r="F39" s="306"/>
      <c r="G39" s="306"/>
      <c r="H39" s="259"/>
      <c r="I39" s="306"/>
      <c r="J39" s="259"/>
    </row>
    <row r="40" spans="2:10" ht="15" customHeight="1" x14ac:dyDescent="0.25">
      <c r="B40" s="579"/>
      <c r="C40" s="267"/>
      <c r="D40" s="88"/>
      <c r="E40" s="307"/>
      <c r="F40" s="307"/>
      <c r="G40" s="307"/>
      <c r="H40" s="258"/>
      <c r="I40" s="307"/>
      <c r="J40" s="258"/>
    </row>
    <row r="41" spans="2:10" ht="15" customHeight="1" x14ac:dyDescent="0.25">
      <c r="B41" s="577" t="s">
        <v>86</v>
      </c>
      <c r="C41" s="268">
        <v>23900</v>
      </c>
      <c r="D41" s="89">
        <v>121036</v>
      </c>
      <c r="E41" s="89"/>
      <c r="F41" s="89"/>
      <c r="G41" s="89"/>
      <c r="H41" s="261"/>
      <c r="I41" s="89"/>
      <c r="J41" s="261">
        <f>+C41+D41+E41+F41+G41+H41+I41</f>
        <v>144936</v>
      </c>
    </row>
    <row r="42" spans="2:10" ht="15" customHeight="1" x14ac:dyDescent="0.25">
      <c r="B42" s="577" t="s">
        <v>87</v>
      </c>
      <c r="C42" s="268">
        <v>23500</v>
      </c>
      <c r="D42" s="89">
        <v>77741</v>
      </c>
      <c r="E42" s="89"/>
      <c r="F42" s="89"/>
      <c r="G42" s="89"/>
      <c r="H42" s="261"/>
      <c r="I42" s="89"/>
      <c r="J42" s="261">
        <f>+C42+D42+E42+F42+G42+H42+I42</f>
        <v>101241</v>
      </c>
    </row>
    <row r="43" spans="2:10" ht="15" customHeight="1" x14ac:dyDescent="0.25">
      <c r="B43" s="577" t="s">
        <v>88</v>
      </c>
      <c r="C43" s="268">
        <v>33450</v>
      </c>
      <c r="D43" s="89">
        <v>136329</v>
      </c>
      <c r="E43" s="89"/>
      <c r="F43" s="89"/>
      <c r="G43" s="89"/>
      <c r="H43" s="261"/>
      <c r="I43" s="89"/>
      <c r="J43" s="261">
        <f>+C43+D43+E43+F43+G43+H43+I43</f>
        <v>169779</v>
      </c>
    </row>
    <row r="44" spans="2:10" ht="15" customHeight="1" x14ac:dyDescent="0.25">
      <c r="B44" s="570" t="s">
        <v>138</v>
      </c>
      <c r="C44" s="269">
        <f t="shared" ref="C44:J44" si="6">SUM(C41:C43)</f>
        <v>80850</v>
      </c>
      <c r="D44" s="86">
        <f t="shared" si="6"/>
        <v>335106</v>
      </c>
      <c r="E44" s="86">
        <f t="shared" si="6"/>
        <v>0</v>
      </c>
      <c r="F44" s="86">
        <f t="shared" si="6"/>
        <v>0</v>
      </c>
      <c r="G44" s="86">
        <f t="shared" si="6"/>
        <v>0</v>
      </c>
      <c r="H44" s="86">
        <f t="shared" si="6"/>
        <v>0</v>
      </c>
      <c r="I44" s="86">
        <f t="shared" si="6"/>
        <v>0</v>
      </c>
      <c r="J44" s="86">
        <f t="shared" si="6"/>
        <v>415956</v>
      </c>
    </row>
    <row r="45" spans="2:10" ht="15" customHeight="1" x14ac:dyDescent="0.25">
      <c r="B45" s="577"/>
      <c r="C45" s="268"/>
      <c r="D45" s="89"/>
      <c r="E45" s="89"/>
      <c r="F45" s="89"/>
      <c r="G45" s="89"/>
      <c r="H45" s="260"/>
      <c r="I45" s="89"/>
      <c r="J45" s="260"/>
    </row>
    <row r="46" spans="2:10" ht="15" customHeight="1" x14ac:dyDescent="0.25">
      <c r="B46" s="577" t="s">
        <v>89</v>
      </c>
      <c r="C46" s="268">
        <v>7700</v>
      </c>
      <c r="D46" s="89">
        <v>107600</v>
      </c>
      <c r="E46" s="89"/>
      <c r="F46" s="89"/>
      <c r="G46" s="89"/>
      <c r="H46" s="261"/>
      <c r="I46" s="89">
        <v>0</v>
      </c>
      <c r="J46" s="261">
        <f>+C46+D46+E46+F46+G46+H46+I46</f>
        <v>115300</v>
      </c>
    </row>
    <row r="47" spans="2:10" ht="15" customHeight="1" x14ac:dyDescent="0.25">
      <c r="B47" s="577" t="s">
        <v>90</v>
      </c>
      <c r="C47" s="268">
        <v>14600</v>
      </c>
      <c r="D47" s="89">
        <v>269311</v>
      </c>
      <c r="E47" s="89"/>
      <c r="F47" s="89"/>
      <c r="G47" s="89"/>
      <c r="H47" s="261"/>
      <c r="I47" s="89"/>
      <c r="J47" s="261">
        <f>+C47+D47+E47+F47+G47+H47+I47</f>
        <v>283911</v>
      </c>
    </row>
    <row r="48" spans="2:10" ht="15" customHeight="1" x14ac:dyDescent="0.25">
      <c r="B48" s="577" t="s">
        <v>91</v>
      </c>
      <c r="C48" s="268">
        <v>22700</v>
      </c>
      <c r="D48" s="89">
        <v>556457</v>
      </c>
      <c r="E48" s="89"/>
      <c r="F48" s="89"/>
      <c r="G48" s="89"/>
      <c r="H48" s="261"/>
      <c r="I48" s="89"/>
      <c r="J48" s="261">
        <f>+C48+D48+E48+F48+G48+H48+I48</f>
        <v>579157</v>
      </c>
    </row>
    <row r="49" spans="2:10" ht="15" customHeight="1" x14ac:dyDescent="0.25">
      <c r="B49" s="570" t="s">
        <v>139</v>
      </c>
      <c r="C49" s="269">
        <f t="shared" ref="C49:J49" si="7">SUM(C46:C48)</f>
        <v>45000</v>
      </c>
      <c r="D49" s="86">
        <f t="shared" si="7"/>
        <v>933368</v>
      </c>
      <c r="E49" s="86">
        <f t="shared" si="7"/>
        <v>0</v>
      </c>
      <c r="F49" s="86">
        <f t="shared" si="7"/>
        <v>0</v>
      </c>
      <c r="G49" s="86">
        <f t="shared" si="7"/>
        <v>0</v>
      </c>
      <c r="H49" s="86">
        <f t="shared" si="7"/>
        <v>0</v>
      </c>
      <c r="I49" s="86">
        <f t="shared" si="7"/>
        <v>0</v>
      </c>
      <c r="J49" s="86">
        <f t="shared" si="7"/>
        <v>978368</v>
      </c>
    </row>
    <row r="50" spans="2:10" ht="15" customHeight="1" x14ac:dyDescent="0.25">
      <c r="B50" s="577"/>
      <c r="C50" s="268"/>
      <c r="D50" s="89"/>
      <c r="E50" s="89"/>
      <c r="F50" s="89"/>
      <c r="G50" s="89"/>
      <c r="H50" s="260"/>
      <c r="I50" s="89"/>
      <c r="J50" s="260"/>
    </row>
    <row r="51" spans="2:10" ht="15" customHeight="1" x14ac:dyDescent="0.25">
      <c r="B51" s="577" t="s">
        <v>93</v>
      </c>
      <c r="C51" s="268">
        <v>10600</v>
      </c>
      <c r="D51" s="89">
        <v>245648</v>
      </c>
      <c r="E51" s="89"/>
      <c r="F51" s="89"/>
      <c r="G51" s="89"/>
      <c r="H51" s="261"/>
      <c r="I51" s="89"/>
      <c r="J51" s="261">
        <f>+C51+D51+E51+F51+G51+H51+I51</f>
        <v>256248</v>
      </c>
    </row>
    <row r="52" spans="2:10" ht="15" customHeight="1" x14ac:dyDescent="0.25">
      <c r="B52" s="577" t="s">
        <v>94</v>
      </c>
      <c r="C52" s="268">
        <v>14485</v>
      </c>
      <c r="D52" s="89">
        <v>199057</v>
      </c>
      <c r="E52" s="89"/>
      <c r="F52" s="89"/>
      <c r="G52" s="89"/>
      <c r="H52" s="261"/>
      <c r="I52" s="89"/>
      <c r="J52" s="261">
        <f>+C52+D52+E52+F52+G52+H52+I52</f>
        <v>213542</v>
      </c>
    </row>
    <row r="53" spans="2:10" ht="15" customHeight="1" x14ac:dyDescent="0.25">
      <c r="B53" s="577" t="s">
        <v>101</v>
      </c>
      <c r="C53" s="268">
        <v>34000</v>
      </c>
      <c r="D53" s="89">
        <v>162997</v>
      </c>
      <c r="E53" s="89"/>
      <c r="F53" s="89"/>
      <c r="G53" s="89"/>
      <c r="H53" s="261"/>
      <c r="I53" s="89"/>
      <c r="J53" s="261">
        <f>+C53+D53+E53+F53+G53+H53+I53</f>
        <v>196997</v>
      </c>
    </row>
    <row r="54" spans="2:10" ht="15" customHeight="1" x14ac:dyDescent="0.25">
      <c r="B54" s="570" t="s">
        <v>140</v>
      </c>
      <c r="C54" s="269">
        <f t="shared" ref="C54:J54" si="8">SUM(C51:C53)</f>
        <v>59085</v>
      </c>
      <c r="D54" s="86">
        <f t="shared" si="8"/>
        <v>607702</v>
      </c>
      <c r="E54" s="86">
        <f t="shared" si="8"/>
        <v>0</v>
      </c>
      <c r="F54" s="86">
        <f t="shared" si="8"/>
        <v>0</v>
      </c>
      <c r="G54" s="86">
        <f t="shared" si="8"/>
        <v>0</v>
      </c>
      <c r="H54" s="86">
        <f t="shared" si="8"/>
        <v>0</v>
      </c>
      <c r="I54" s="86">
        <f t="shared" si="8"/>
        <v>0</v>
      </c>
      <c r="J54" s="86">
        <f t="shared" si="8"/>
        <v>666787</v>
      </c>
    </row>
    <row r="55" spans="2:10" ht="15" customHeight="1" x14ac:dyDescent="0.25">
      <c r="B55" s="577"/>
      <c r="C55" s="268"/>
      <c r="D55" s="89"/>
      <c r="E55" s="89"/>
      <c r="F55" s="89"/>
      <c r="G55" s="89"/>
      <c r="H55" s="260"/>
      <c r="I55" s="89"/>
      <c r="J55" s="260"/>
    </row>
    <row r="56" spans="2:10" ht="15" customHeight="1" x14ac:dyDescent="0.25">
      <c r="B56" s="577" t="s">
        <v>95</v>
      </c>
      <c r="C56" s="268">
        <v>41900</v>
      </c>
      <c r="D56" s="89">
        <v>348790</v>
      </c>
      <c r="E56" s="89"/>
      <c r="F56" s="89"/>
      <c r="G56" s="89"/>
      <c r="H56" s="261"/>
      <c r="I56" s="89"/>
      <c r="J56" s="261">
        <f>+C56+D56+E56+F56+G56+H56+I56</f>
        <v>390690</v>
      </c>
    </row>
    <row r="57" spans="2:10" ht="15" customHeight="1" x14ac:dyDescent="0.25">
      <c r="B57" s="577" t="s">
        <v>96</v>
      </c>
      <c r="C57" s="268">
        <v>17500</v>
      </c>
      <c r="D57" s="89">
        <v>234827</v>
      </c>
      <c r="E57" s="89"/>
      <c r="F57" s="89"/>
      <c r="G57" s="89"/>
      <c r="H57" s="261"/>
      <c r="I57" s="89"/>
      <c r="J57" s="261">
        <f>+C57+D57+E57+F57+G57+H57+I57</f>
        <v>252327</v>
      </c>
    </row>
    <row r="58" spans="2:10" ht="15" customHeight="1" x14ac:dyDescent="0.25">
      <c r="B58" s="577" t="s">
        <v>97</v>
      </c>
      <c r="C58" s="268">
        <v>43100</v>
      </c>
      <c r="D58" s="89">
        <v>344531</v>
      </c>
      <c r="E58" s="89"/>
      <c r="F58" s="89"/>
      <c r="G58" s="89"/>
      <c r="H58" s="89"/>
      <c r="I58" s="89"/>
      <c r="J58" s="261">
        <f>+C58+D58+E58+F58+G58+H58+I58</f>
        <v>387631</v>
      </c>
    </row>
    <row r="59" spans="2:10" ht="15" customHeight="1" x14ac:dyDescent="0.25">
      <c r="B59" s="570" t="s">
        <v>141</v>
      </c>
      <c r="C59" s="269">
        <f t="shared" ref="C59:J59" si="9">SUM(C56:C58)</f>
        <v>102500</v>
      </c>
      <c r="D59" s="86">
        <f t="shared" si="9"/>
        <v>928148</v>
      </c>
      <c r="E59" s="86">
        <f t="shared" si="9"/>
        <v>0</v>
      </c>
      <c r="F59" s="86">
        <f t="shared" si="9"/>
        <v>0</v>
      </c>
      <c r="G59" s="86">
        <f t="shared" si="9"/>
        <v>0</v>
      </c>
      <c r="H59" s="86">
        <f t="shared" si="9"/>
        <v>0</v>
      </c>
      <c r="I59" s="86">
        <f t="shared" si="9"/>
        <v>0</v>
      </c>
      <c r="J59" s="86">
        <f t="shared" si="9"/>
        <v>1030648</v>
      </c>
    </row>
    <row r="60" spans="2:10" ht="15" customHeight="1" thickBot="1" x14ac:dyDescent="0.3">
      <c r="B60" s="593"/>
      <c r="C60" s="266"/>
      <c r="D60" s="87"/>
      <c r="E60" s="87"/>
      <c r="F60" s="87"/>
      <c r="G60" s="87"/>
      <c r="H60" s="327"/>
      <c r="I60" s="87"/>
      <c r="J60" s="327"/>
    </row>
    <row r="61" spans="2:10" ht="15" customHeight="1" x14ac:dyDescent="0.25">
      <c r="B61" s="14" t="s">
        <v>219</v>
      </c>
    </row>
    <row r="63" spans="2:10" ht="15" customHeight="1" x14ac:dyDescent="0.25">
      <c r="B63" s="864" t="s">
        <v>190</v>
      </c>
      <c r="C63" s="864"/>
      <c r="D63" s="864"/>
      <c r="E63" s="864"/>
      <c r="F63" s="864"/>
      <c r="G63" s="864"/>
      <c r="H63" s="864"/>
      <c r="I63" s="864"/>
      <c r="J63" s="864"/>
    </row>
    <row r="64" spans="2:10" ht="15" customHeight="1" x14ac:dyDescent="0.25">
      <c r="B64" s="864" t="s">
        <v>137</v>
      </c>
      <c r="C64" s="864"/>
      <c r="D64" s="864"/>
      <c r="E64" s="864"/>
      <c r="F64" s="864"/>
      <c r="G64" s="864"/>
      <c r="H64" s="864"/>
      <c r="I64" s="864"/>
      <c r="J64" s="864"/>
    </row>
    <row r="65" spans="2:10" ht="15" customHeight="1" x14ac:dyDescent="0.25">
      <c r="B65" s="864">
        <v>2019</v>
      </c>
      <c r="C65" s="864"/>
      <c r="D65" s="864"/>
      <c r="E65" s="864"/>
      <c r="F65" s="864"/>
      <c r="G65" s="864"/>
      <c r="H65" s="864"/>
      <c r="I65" s="864"/>
      <c r="J65" s="864"/>
    </row>
    <row r="66" spans="2:10" ht="15" customHeight="1" thickBot="1" x14ac:dyDescent="0.3">
      <c r="B66" s="929" t="s">
        <v>135</v>
      </c>
      <c r="C66" s="929"/>
      <c r="D66" s="929"/>
      <c r="E66" s="929"/>
      <c r="F66" s="929"/>
      <c r="G66" s="929"/>
      <c r="H66" s="929"/>
      <c r="I66" s="929"/>
      <c r="J66" s="929"/>
    </row>
    <row r="67" spans="2:10" ht="15" customHeight="1" thickBot="1" x14ac:dyDescent="0.3">
      <c r="B67" s="594" t="s">
        <v>100</v>
      </c>
      <c r="C67" s="786" t="s">
        <v>52</v>
      </c>
      <c r="D67" s="786" t="s">
        <v>123</v>
      </c>
      <c r="E67" s="786" t="s">
        <v>181</v>
      </c>
      <c r="F67" s="786" t="s">
        <v>131</v>
      </c>
      <c r="G67" s="786" t="s">
        <v>232</v>
      </c>
      <c r="H67" s="786" t="s">
        <v>233</v>
      </c>
      <c r="I67" s="786" t="s">
        <v>84</v>
      </c>
      <c r="J67" s="786" t="s">
        <v>78</v>
      </c>
    </row>
    <row r="68" spans="2:10" ht="15" customHeight="1" x14ac:dyDescent="0.25">
      <c r="B68" s="574"/>
      <c r="C68" s="264"/>
      <c r="D68" s="85"/>
      <c r="E68" s="305"/>
      <c r="F68" s="305"/>
      <c r="G68" s="305"/>
      <c r="H68" s="257"/>
      <c r="I68" s="305"/>
      <c r="J68" s="257"/>
    </row>
    <row r="69" spans="2:10" ht="15" customHeight="1" x14ac:dyDescent="0.25">
      <c r="B69" s="570" t="s">
        <v>103</v>
      </c>
      <c r="C69" s="265">
        <f t="shared" ref="C69:H69" si="10">+C75+C80+C85+C90</f>
        <v>457635</v>
      </c>
      <c r="D69" s="86">
        <f t="shared" si="10"/>
        <v>4650576.51</v>
      </c>
      <c r="E69" s="86">
        <f t="shared" si="10"/>
        <v>0</v>
      </c>
      <c r="F69" s="86">
        <f t="shared" si="10"/>
        <v>0</v>
      </c>
      <c r="G69" s="86">
        <f t="shared" si="10"/>
        <v>21900</v>
      </c>
      <c r="H69" s="86">
        <f t="shared" si="10"/>
        <v>31000</v>
      </c>
      <c r="I69" s="86">
        <f>+I75+I80+I85+I90</f>
        <v>0</v>
      </c>
      <c r="J69" s="86">
        <f>+J75+J80+J85+J90</f>
        <v>5161111.51</v>
      </c>
    </row>
    <row r="70" spans="2:10" ht="15" customHeight="1" thickBot="1" x14ac:dyDescent="0.3">
      <c r="B70" s="593"/>
      <c r="C70" s="266"/>
      <c r="D70" s="87"/>
      <c r="E70" s="306"/>
      <c r="F70" s="306"/>
      <c r="G70" s="306"/>
      <c r="H70" s="259"/>
      <c r="I70" s="306"/>
      <c r="J70" s="259"/>
    </row>
    <row r="71" spans="2:10" ht="15" customHeight="1" x14ac:dyDescent="0.25">
      <c r="B71" s="579"/>
      <c r="C71" s="267"/>
      <c r="D71" s="88"/>
      <c r="E71" s="307"/>
      <c r="F71" s="307"/>
      <c r="G71" s="307"/>
      <c r="H71" s="258"/>
      <c r="I71" s="307"/>
      <c r="J71" s="258"/>
    </row>
    <row r="72" spans="2:10" ht="15" customHeight="1" x14ac:dyDescent="0.25">
      <c r="B72" s="577" t="s">
        <v>86</v>
      </c>
      <c r="C72" s="268">
        <v>64985</v>
      </c>
      <c r="D72" s="89">
        <v>1055886</v>
      </c>
      <c r="E72" s="89"/>
      <c r="F72" s="89"/>
      <c r="G72" s="89">
        <v>15100</v>
      </c>
      <c r="H72" s="261">
        <v>15000</v>
      </c>
      <c r="I72" s="89"/>
      <c r="J72" s="261">
        <f>+C72+D72+E72+F72+G72+H72+I72</f>
        <v>1150971</v>
      </c>
    </row>
    <row r="73" spans="2:10" ht="15" customHeight="1" x14ac:dyDescent="0.25">
      <c r="B73" s="577" t="s">
        <v>87</v>
      </c>
      <c r="C73" s="268">
        <v>47400</v>
      </c>
      <c r="D73" s="89">
        <v>418340</v>
      </c>
      <c r="E73" s="89"/>
      <c r="F73" s="89"/>
      <c r="G73" s="89">
        <v>6800</v>
      </c>
      <c r="H73" s="261">
        <v>16000</v>
      </c>
      <c r="I73" s="89"/>
      <c r="J73" s="261">
        <f>+C73+D73+E73+F73+G73+H73+I73</f>
        <v>488540</v>
      </c>
    </row>
    <row r="74" spans="2:10" ht="15" customHeight="1" x14ac:dyDescent="0.25">
      <c r="B74" s="577" t="s">
        <v>88</v>
      </c>
      <c r="C74" s="268">
        <v>44550</v>
      </c>
      <c r="D74" s="89">
        <v>185274</v>
      </c>
      <c r="E74" s="89"/>
      <c r="F74" s="89"/>
      <c r="G74" s="89"/>
      <c r="H74" s="261"/>
      <c r="I74" s="89"/>
      <c r="J74" s="261">
        <f>+C74+D74+E74+F74+G74+H74+I74</f>
        <v>229824</v>
      </c>
    </row>
    <row r="75" spans="2:10" ht="15" customHeight="1" x14ac:dyDescent="0.25">
      <c r="B75" s="570" t="s">
        <v>138</v>
      </c>
      <c r="C75" s="269">
        <f t="shared" ref="C75:J75" si="11">SUM(C72:C74)</f>
        <v>156935</v>
      </c>
      <c r="D75" s="86">
        <f t="shared" si="11"/>
        <v>1659500</v>
      </c>
      <c r="E75" s="86">
        <f t="shared" si="11"/>
        <v>0</v>
      </c>
      <c r="F75" s="86">
        <f t="shared" si="11"/>
        <v>0</v>
      </c>
      <c r="G75" s="86">
        <f t="shared" si="11"/>
        <v>21900</v>
      </c>
      <c r="H75" s="86">
        <f t="shared" si="11"/>
        <v>31000</v>
      </c>
      <c r="I75" s="86">
        <f t="shared" si="11"/>
        <v>0</v>
      </c>
      <c r="J75" s="86">
        <f t="shared" si="11"/>
        <v>1869335</v>
      </c>
    </row>
    <row r="76" spans="2:10" ht="15" customHeight="1" x14ac:dyDescent="0.25">
      <c r="B76" s="577"/>
      <c r="C76" s="268"/>
      <c r="D76" s="89"/>
      <c r="E76" s="89"/>
      <c r="F76" s="89"/>
      <c r="G76" s="89"/>
      <c r="H76" s="260"/>
      <c r="I76" s="89"/>
      <c r="J76" s="260"/>
    </row>
    <row r="77" spans="2:10" ht="15" customHeight="1" x14ac:dyDescent="0.25">
      <c r="B77" s="577" t="s">
        <v>89</v>
      </c>
      <c r="C77" s="268">
        <v>37750</v>
      </c>
      <c r="D77" s="89">
        <v>478464</v>
      </c>
      <c r="E77" s="89"/>
      <c r="F77" s="89"/>
      <c r="G77" s="89"/>
      <c r="H77" s="261"/>
      <c r="I77" s="89">
        <v>0</v>
      </c>
      <c r="J77" s="261">
        <f>+C77+D77+E77+F77+G77+H77+I77</f>
        <v>516214</v>
      </c>
    </row>
    <row r="78" spans="2:10" ht="15" customHeight="1" x14ac:dyDescent="0.25">
      <c r="B78" s="577" t="s">
        <v>90</v>
      </c>
      <c r="C78" s="268">
        <v>33150</v>
      </c>
      <c r="D78" s="89">
        <v>404178.11</v>
      </c>
      <c r="E78" s="89"/>
      <c r="F78" s="89"/>
      <c r="G78" s="89"/>
      <c r="H78" s="261"/>
      <c r="I78" s="89"/>
      <c r="J78" s="261">
        <f>+C78+D78+E78+F78+G78+H78+I78</f>
        <v>437328.11</v>
      </c>
    </row>
    <row r="79" spans="2:10" ht="15" customHeight="1" x14ac:dyDescent="0.25">
      <c r="B79" s="577" t="s">
        <v>91</v>
      </c>
      <c r="C79" s="268">
        <v>35000</v>
      </c>
      <c r="D79" s="89">
        <v>489300</v>
      </c>
      <c r="E79" s="89"/>
      <c r="F79" s="89"/>
      <c r="G79" s="89"/>
      <c r="H79" s="261"/>
      <c r="I79" s="89"/>
      <c r="J79" s="261">
        <f>+C79+D79+E79+F79+G79+H79+I79</f>
        <v>524300</v>
      </c>
    </row>
    <row r="80" spans="2:10" ht="15" customHeight="1" x14ac:dyDescent="0.25">
      <c r="B80" s="570" t="s">
        <v>139</v>
      </c>
      <c r="C80" s="269">
        <f t="shared" ref="C80:J80" si="12">SUM(C77:C79)</f>
        <v>105900</v>
      </c>
      <c r="D80" s="86">
        <f t="shared" si="12"/>
        <v>1371942.1099999999</v>
      </c>
      <c r="E80" s="86">
        <f t="shared" si="12"/>
        <v>0</v>
      </c>
      <c r="F80" s="86">
        <f t="shared" si="12"/>
        <v>0</v>
      </c>
      <c r="G80" s="86">
        <f t="shared" si="12"/>
        <v>0</v>
      </c>
      <c r="H80" s="86">
        <f t="shared" si="12"/>
        <v>0</v>
      </c>
      <c r="I80" s="86">
        <f t="shared" si="12"/>
        <v>0</v>
      </c>
      <c r="J80" s="86">
        <f t="shared" si="12"/>
        <v>1477842.1099999999</v>
      </c>
    </row>
    <row r="81" spans="2:10" ht="15" customHeight="1" x14ac:dyDescent="0.25">
      <c r="B81" s="577"/>
      <c r="C81" s="268"/>
      <c r="D81" s="89"/>
      <c r="E81" s="89"/>
      <c r="F81" s="89"/>
      <c r="G81" s="89"/>
      <c r="H81" s="260"/>
      <c r="I81" s="89"/>
      <c r="J81" s="260"/>
    </row>
    <row r="82" spans="2:10" ht="15" customHeight="1" x14ac:dyDescent="0.25">
      <c r="B82" s="577" t="s">
        <v>93</v>
      </c>
      <c r="C82" s="268">
        <v>40600</v>
      </c>
      <c r="D82" s="89">
        <v>394722</v>
      </c>
      <c r="E82" s="89"/>
      <c r="F82" s="89"/>
      <c r="G82" s="89"/>
      <c r="H82" s="261"/>
      <c r="I82" s="89"/>
      <c r="J82" s="261">
        <f>+C82+D82+E82+F82+G82+H82+I82</f>
        <v>435322</v>
      </c>
    </row>
    <row r="83" spans="2:10" ht="15" customHeight="1" x14ac:dyDescent="0.25">
      <c r="B83" s="577" t="s">
        <v>94</v>
      </c>
      <c r="C83" s="268">
        <v>41450</v>
      </c>
      <c r="D83" s="89">
        <v>318016.40000000002</v>
      </c>
      <c r="E83" s="89"/>
      <c r="F83" s="89"/>
      <c r="G83" s="89"/>
      <c r="H83" s="261"/>
      <c r="I83" s="89"/>
      <c r="J83" s="261">
        <f>+C83+D83+E83+F83+G83+H83+I83</f>
        <v>359466.4</v>
      </c>
    </row>
    <row r="84" spans="2:10" ht="15" customHeight="1" x14ac:dyDescent="0.25">
      <c r="B84" s="577" t="s">
        <v>101</v>
      </c>
      <c r="C84" s="268">
        <v>32700</v>
      </c>
      <c r="D84" s="89">
        <v>215626</v>
      </c>
      <c r="E84" s="89"/>
      <c r="F84" s="89"/>
      <c r="G84" s="89"/>
      <c r="H84" s="261"/>
      <c r="I84" s="89"/>
      <c r="J84" s="261">
        <f>+C84+D84+E84+F84+G84+H84+I84</f>
        <v>248326</v>
      </c>
    </row>
    <row r="85" spans="2:10" ht="15" customHeight="1" x14ac:dyDescent="0.25">
      <c r="B85" s="570" t="s">
        <v>140</v>
      </c>
      <c r="C85" s="269">
        <f t="shared" ref="C85:J85" si="13">SUM(C82:C84)</f>
        <v>114750</v>
      </c>
      <c r="D85" s="86">
        <f t="shared" si="13"/>
        <v>928364.4</v>
      </c>
      <c r="E85" s="86">
        <f t="shared" si="13"/>
        <v>0</v>
      </c>
      <c r="F85" s="86">
        <f t="shared" si="13"/>
        <v>0</v>
      </c>
      <c r="G85" s="86">
        <f t="shared" si="13"/>
        <v>0</v>
      </c>
      <c r="H85" s="86">
        <f t="shared" si="13"/>
        <v>0</v>
      </c>
      <c r="I85" s="86">
        <f t="shared" si="13"/>
        <v>0</v>
      </c>
      <c r="J85" s="86">
        <f t="shared" si="13"/>
        <v>1043114.4</v>
      </c>
    </row>
    <row r="86" spans="2:10" ht="15" customHeight="1" x14ac:dyDescent="0.25">
      <c r="B86" s="577"/>
      <c r="C86" s="268"/>
      <c r="D86" s="89"/>
      <c r="E86" s="89"/>
      <c r="F86" s="89"/>
      <c r="G86" s="89"/>
      <c r="H86" s="260"/>
      <c r="I86" s="89"/>
      <c r="J86" s="260"/>
    </row>
    <row r="87" spans="2:10" ht="15" customHeight="1" x14ac:dyDescent="0.25">
      <c r="B87" s="577" t="s">
        <v>95</v>
      </c>
      <c r="C87" s="268">
        <v>29550</v>
      </c>
      <c r="D87" s="89">
        <v>460550</v>
      </c>
      <c r="E87" s="89"/>
      <c r="F87" s="89"/>
      <c r="G87" s="89"/>
      <c r="H87" s="261"/>
      <c r="I87" s="89"/>
      <c r="J87" s="261">
        <f>+C87+D87+E87+F87+G87+H87+I87</f>
        <v>490100</v>
      </c>
    </row>
    <row r="88" spans="2:10" ht="15" customHeight="1" x14ac:dyDescent="0.25">
      <c r="B88" s="577" t="s">
        <v>96</v>
      </c>
      <c r="C88" s="268">
        <v>26500</v>
      </c>
      <c r="D88" s="89">
        <v>139874</v>
      </c>
      <c r="E88" s="89"/>
      <c r="F88" s="89"/>
      <c r="G88" s="89"/>
      <c r="H88" s="261"/>
      <c r="I88" s="89"/>
      <c r="J88" s="261">
        <f>+C88+D88+E88+F88+G88+H88+I88</f>
        <v>166374</v>
      </c>
    </row>
    <row r="89" spans="2:10" ht="15" customHeight="1" x14ac:dyDescent="0.25">
      <c r="B89" s="577" t="s">
        <v>97</v>
      </c>
      <c r="C89" s="268">
        <v>24000</v>
      </c>
      <c r="D89" s="89">
        <v>90346</v>
      </c>
      <c r="E89" s="89"/>
      <c r="F89" s="89"/>
      <c r="G89" s="89"/>
      <c r="H89" s="89"/>
      <c r="I89" s="89"/>
      <c r="J89" s="261">
        <f>+C89+D89+E89+F89+G89+H89+I89</f>
        <v>114346</v>
      </c>
    </row>
    <row r="90" spans="2:10" ht="15" customHeight="1" x14ac:dyDescent="0.25">
      <c r="B90" s="570" t="s">
        <v>141</v>
      </c>
      <c r="C90" s="269">
        <f t="shared" ref="C90:J90" si="14">SUM(C87:C89)</f>
        <v>80050</v>
      </c>
      <c r="D90" s="86">
        <f t="shared" si="14"/>
        <v>690770</v>
      </c>
      <c r="E90" s="86">
        <f t="shared" si="14"/>
        <v>0</v>
      </c>
      <c r="F90" s="86">
        <f t="shared" si="14"/>
        <v>0</v>
      </c>
      <c r="G90" s="86">
        <f t="shared" si="14"/>
        <v>0</v>
      </c>
      <c r="H90" s="86">
        <f t="shared" si="14"/>
        <v>0</v>
      </c>
      <c r="I90" s="86">
        <f t="shared" si="14"/>
        <v>0</v>
      </c>
      <c r="J90" s="86">
        <f t="shared" si="14"/>
        <v>770820</v>
      </c>
    </row>
    <row r="91" spans="2:10" ht="15" customHeight="1" thickBot="1" x14ac:dyDescent="0.3">
      <c r="B91" s="593"/>
      <c r="C91" s="266"/>
      <c r="D91" s="87"/>
      <c r="E91" s="87"/>
      <c r="F91" s="87"/>
      <c r="G91" s="87"/>
      <c r="H91" s="327"/>
      <c r="I91" s="87"/>
      <c r="J91" s="327"/>
    </row>
    <row r="92" spans="2:10" ht="15" customHeight="1" x14ac:dyDescent="0.25">
      <c r="B92" s="14" t="s">
        <v>219</v>
      </c>
    </row>
    <row r="94" spans="2:10" ht="15" customHeight="1" x14ac:dyDescent="0.25">
      <c r="B94" s="864" t="s">
        <v>190</v>
      </c>
      <c r="C94" s="864"/>
      <c r="D94" s="864"/>
      <c r="E94" s="864"/>
      <c r="F94" s="864"/>
      <c r="G94" s="864"/>
      <c r="H94" s="864"/>
      <c r="I94" s="864"/>
      <c r="J94" s="864"/>
    </row>
    <row r="95" spans="2:10" ht="15" customHeight="1" x14ac:dyDescent="0.25">
      <c r="B95" s="864" t="s">
        <v>137</v>
      </c>
      <c r="C95" s="864"/>
      <c r="D95" s="864"/>
      <c r="E95" s="864"/>
      <c r="F95" s="864"/>
      <c r="G95" s="864"/>
      <c r="H95" s="864"/>
      <c r="I95" s="864"/>
      <c r="J95" s="864"/>
    </row>
    <row r="96" spans="2:10" ht="15" customHeight="1" x14ac:dyDescent="0.25">
      <c r="B96" s="864">
        <v>2018</v>
      </c>
      <c r="C96" s="864"/>
      <c r="D96" s="864"/>
      <c r="E96" s="864"/>
      <c r="F96" s="864"/>
      <c r="G96" s="864"/>
      <c r="H96" s="864"/>
      <c r="I96" s="864"/>
      <c r="J96" s="864"/>
    </row>
    <row r="97" spans="2:10" ht="15" customHeight="1" thickBot="1" x14ac:dyDescent="0.3">
      <c r="B97" s="929" t="s">
        <v>135</v>
      </c>
      <c r="C97" s="929"/>
      <c r="D97" s="929"/>
      <c r="E97" s="929"/>
      <c r="F97" s="929"/>
      <c r="G97" s="929"/>
      <c r="H97" s="929"/>
      <c r="I97" s="929"/>
      <c r="J97" s="929"/>
    </row>
    <row r="98" spans="2:10" ht="15" customHeight="1" thickBot="1" x14ac:dyDescent="0.3">
      <c r="B98" s="594" t="s">
        <v>100</v>
      </c>
      <c r="C98" s="766" t="s">
        <v>52</v>
      </c>
      <c r="D98" s="766" t="s">
        <v>123</v>
      </c>
      <c r="E98" s="766" t="s">
        <v>181</v>
      </c>
      <c r="F98" s="766" t="s">
        <v>131</v>
      </c>
      <c r="G98" s="766" t="s">
        <v>232</v>
      </c>
      <c r="H98" s="766" t="s">
        <v>233</v>
      </c>
      <c r="I98" s="766" t="s">
        <v>84</v>
      </c>
      <c r="J98" s="766" t="s">
        <v>78</v>
      </c>
    </row>
    <row r="99" spans="2:10" ht="15" customHeight="1" x14ac:dyDescent="0.25">
      <c r="B99" s="574"/>
      <c r="C99" s="264"/>
      <c r="D99" s="85"/>
      <c r="E99" s="305"/>
      <c r="F99" s="305"/>
      <c r="G99" s="305"/>
      <c r="H99" s="257"/>
      <c r="I99" s="305"/>
      <c r="J99" s="257"/>
    </row>
    <row r="100" spans="2:10" ht="15" customHeight="1" x14ac:dyDescent="0.25">
      <c r="B100" s="570" t="s">
        <v>103</v>
      </c>
      <c r="C100" s="265">
        <f t="shared" ref="C100:H100" si="15">+C106+C111+C116+C121</f>
        <v>283540</v>
      </c>
      <c r="D100" s="86">
        <f t="shared" si="15"/>
        <v>3679980.5</v>
      </c>
      <c r="E100" s="86">
        <f t="shared" si="15"/>
        <v>0</v>
      </c>
      <c r="F100" s="86">
        <f t="shared" si="15"/>
        <v>0</v>
      </c>
      <c r="G100" s="86">
        <f t="shared" si="15"/>
        <v>1500</v>
      </c>
      <c r="H100" s="86">
        <f t="shared" si="15"/>
        <v>8000</v>
      </c>
      <c r="I100" s="86">
        <f>+I106+I111+I116+I121</f>
        <v>0</v>
      </c>
      <c r="J100" s="86">
        <f>+J106+J111+J116+J121</f>
        <v>3973020.5</v>
      </c>
    </row>
    <row r="101" spans="2:10" ht="15" customHeight="1" thickBot="1" x14ac:dyDescent="0.3">
      <c r="B101" s="593"/>
      <c r="C101" s="266"/>
      <c r="D101" s="87"/>
      <c r="E101" s="306"/>
      <c r="F101" s="306"/>
      <c r="G101" s="306"/>
      <c r="H101" s="259"/>
      <c r="I101" s="306"/>
      <c r="J101" s="259"/>
    </row>
    <row r="102" spans="2:10" ht="15" customHeight="1" x14ac:dyDescent="0.25">
      <c r="B102" s="579"/>
      <c r="C102" s="267"/>
      <c r="D102" s="88"/>
      <c r="E102" s="307"/>
      <c r="F102" s="307"/>
      <c r="G102" s="307"/>
      <c r="H102" s="258"/>
      <c r="I102" s="307"/>
      <c r="J102" s="258"/>
    </row>
    <row r="103" spans="2:10" ht="15" customHeight="1" x14ac:dyDescent="0.25">
      <c r="B103" s="577" t="s">
        <v>86</v>
      </c>
      <c r="C103" s="268">
        <v>31970</v>
      </c>
      <c r="D103" s="89">
        <v>543216</v>
      </c>
      <c r="E103" s="89"/>
      <c r="F103" s="89"/>
      <c r="G103" s="89"/>
      <c r="H103" s="261"/>
      <c r="I103" s="89"/>
      <c r="J103" s="261">
        <f>+C103+D103+E103+F103+G103+H103+I103</f>
        <v>575186</v>
      </c>
    </row>
    <row r="104" spans="2:10" ht="15" customHeight="1" x14ac:dyDescent="0.25">
      <c r="B104" s="577" t="s">
        <v>87</v>
      </c>
      <c r="C104" s="268">
        <v>27150</v>
      </c>
      <c r="D104" s="89">
        <v>175166</v>
      </c>
      <c r="E104" s="89"/>
      <c r="F104" s="89"/>
      <c r="G104" s="89"/>
      <c r="H104" s="261"/>
      <c r="I104" s="89"/>
      <c r="J104" s="261">
        <f>+C104+D104+E104+F104+G104+H104+I104</f>
        <v>202316</v>
      </c>
    </row>
    <row r="105" spans="2:10" ht="15" customHeight="1" x14ac:dyDescent="0.25">
      <c r="B105" s="577" t="s">
        <v>88</v>
      </c>
      <c r="C105" s="268">
        <v>39170</v>
      </c>
      <c r="D105" s="89">
        <v>192804.2</v>
      </c>
      <c r="E105" s="89"/>
      <c r="F105" s="89"/>
      <c r="G105" s="89"/>
      <c r="H105" s="261"/>
      <c r="I105" s="89"/>
      <c r="J105" s="261">
        <f>+C105+D105+E105+F105+G105+H105+I105</f>
        <v>231974.2</v>
      </c>
    </row>
    <row r="106" spans="2:10" ht="15" customHeight="1" x14ac:dyDescent="0.25">
      <c r="B106" s="570" t="s">
        <v>138</v>
      </c>
      <c r="C106" s="269">
        <f t="shared" ref="C106:J106" si="16">SUM(C103:C105)</f>
        <v>98290</v>
      </c>
      <c r="D106" s="86">
        <f t="shared" si="16"/>
        <v>911186.2</v>
      </c>
      <c r="E106" s="86">
        <f t="shared" si="16"/>
        <v>0</v>
      </c>
      <c r="F106" s="86">
        <f t="shared" si="16"/>
        <v>0</v>
      </c>
      <c r="G106" s="86">
        <f t="shared" si="16"/>
        <v>0</v>
      </c>
      <c r="H106" s="86">
        <f t="shared" si="16"/>
        <v>0</v>
      </c>
      <c r="I106" s="86">
        <f t="shared" si="16"/>
        <v>0</v>
      </c>
      <c r="J106" s="86">
        <f t="shared" si="16"/>
        <v>1009476.2</v>
      </c>
    </row>
    <row r="107" spans="2:10" ht="15" customHeight="1" x14ac:dyDescent="0.25">
      <c r="B107" s="577"/>
      <c r="C107" s="268"/>
      <c r="D107" s="89"/>
      <c r="E107" s="89"/>
      <c r="F107" s="89"/>
      <c r="G107" s="89"/>
      <c r="H107" s="260"/>
      <c r="I107" s="89"/>
      <c r="J107" s="260"/>
    </row>
    <row r="108" spans="2:10" ht="15" customHeight="1" x14ac:dyDescent="0.25">
      <c r="B108" s="577" t="s">
        <v>89</v>
      </c>
      <c r="C108" s="268">
        <v>32550</v>
      </c>
      <c r="D108" s="89">
        <v>364810</v>
      </c>
      <c r="E108" s="89"/>
      <c r="F108" s="89"/>
      <c r="G108" s="89"/>
      <c r="H108" s="261"/>
      <c r="I108" s="89">
        <v>0</v>
      </c>
      <c r="J108" s="261">
        <f>+C108+D108+E108+F108+G108+H108+I108</f>
        <v>397360</v>
      </c>
    </row>
    <row r="109" spans="2:10" ht="15" customHeight="1" x14ac:dyDescent="0.25">
      <c r="B109" s="577" t="s">
        <v>90</v>
      </c>
      <c r="C109" s="268">
        <v>32100</v>
      </c>
      <c r="D109" s="89">
        <v>363734</v>
      </c>
      <c r="E109" s="89"/>
      <c r="F109" s="89"/>
      <c r="G109" s="89"/>
      <c r="H109" s="261"/>
      <c r="I109" s="89"/>
      <c r="J109" s="261">
        <f>+C109+D109+E109+F109+G109+H109+I109</f>
        <v>395834</v>
      </c>
    </row>
    <row r="110" spans="2:10" ht="15" customHeight="1" x14ac:dyDescent="0.25">
      <c r="B110" s="577" t="s">
        <v>91</v>
      </c>
      <c r="C110" s="268">
        <v>26450</v>
      </c>
      <c r="D110" s="89">
        <v>323216</v>
      </c>
      <c r="E110" s="89"/>
      <c r="F110" s="89"/>
      <c r="G110" s="89"/>
      <c r="H110" s="261"/>
      <c r="I110" s="89"/>
      <c r="J110" s="261">
        <f>+C110+D110+E110+F110+G110+H110+I110</f>
        <v>349666</v>
      </c>
    </row>
    <row r="111" spans="2:10" ht="15" customHeight="1" x14ac:dyDescent="0.25">
      <c r="B111" s="570" t="s">
        <v>139</v>
      </c>
      <c r="C111" s="269">
        <f t="shared" ref="C111:J111" si="17">SUM(C108:C110)</f>
        <v>91100</v>
      </c>
      <c r="D111" s="86">
        <f t="shared" si="17"/>
        <v>1051760</v>
      </c>
      <c r="E111" s="86">
        <f t="shared" si="17"/>
        <v>0</v>
      </c>
      <c r="F111" s="86">
        <f t="shared" si="17"/>
        <v>0</v>
      </c>
      <c r="G111" s="86">
        <f t="shared" si="17"/>
        <v>0</v>
      </c>
      <c r="H111" s="86">
        <f t="shared" si="17"/>
        <v>0</v>
      </c>
      <c r="I111" s="86">
        <f t="shared" si="17"/>
        <v>0</v>
      </c>
      <c r="J111" s="86">
        <f t="shared" si="17"/>
        <v>1142860</v>
      </c>
    </row>
    <row r="112" spans="2:10" ht="15" customHeight="1" x14ac:dyDescent="0.25">
      <c r="B112" s="577"/>
      <c r="C112" s="268"/>
      <c r="D112" s="89"/>
      <c r="E112" s="89"/>
      <c r="F112" s="89"/>
      <c r="G112" s="89"/>
      <c r="H112" s="260"/>
      <c r="I112" s="89"/>
      <c r="J112" s="260"/>
    </row>
    <row r="113" spans="2:10" ht="15" customHeight="1" x14ac:dyDescent="0.25">
      <c r="B113" s="577" t="s">
        <v>93</v>
      </c>
      <c r="C113" s="268">
        <v>25300</v>
      </c>
      <c r="D113" s="89">
        <v>203773</v>
      </c>
      <c r="E113" s="89"/>
      <c r="F113" s="89"/>
      <c r="G113" s="89"/>
      <c r="H113" s="261"/>
      <c r="I113" s="89"/>
      <c r="J113" s="261">
        <f>+C113+D113+E113+F113+G113+H113+I113</f>
        <v>229073</v>
      </c>
    </row>
    <row r="114" spans="2:10" ht="15" customHeight="1" x14ac:dyDescent="0.25">
      <c r="B114" s="577" t="s">
        <v>94</v>
      </c>
      <c r="C114" s="268">
        <v>4900</v>
      </c>
      <c r="D114" s="89">
        <v>214595</v>
      </c>
      <c r="E114" s="89"/>
      <c r="F114" s="89"/>
      <c r="G114" s="89"/>
      <c r="H114" s="261"/>
      <c r="I114" s="89"/>
      <c r="J114" s="261">
        <f>+C114+D114+E114+F114+G114+H114+I114</f>
        <v>219495</v>
      </c>
    </row>
    <row r="115" spans="2:10" ht="15" customHeight="1" x14ac:dyDescent="0.25">
      <c r="B115" s="577" t="s">
        <v>101</v>
      </c>
      <c r="C115" s="268">
        <v>4700</v>
      </c>
      <c r="D115" s="89">
        <v>91020</v>
      </c>
      <c r="E115" s="89"/>
      <c r="F115" s="89"/>
      <c r="G115" s="89"/>
      <c r="H115" s="261"/>
      <c r="I115" s="89"/>
      <c r="J115" s="261">
        <f>+C115+D115+E115+F115+G115+H115+I115</f>
        <v>95720</v>
      </c>
    </row>
    <row r="116" spans="2:10" ht="15" customHeight="1" x14ac:dyDescent="0.25">
      <c r="B116" s="570" t="s">
        <v>140</v>
      </c>
      <c r="C116" s="269">
        <f t="shared" ref="C116:J116" si="18">SUM(C113:C115)</f>
        <v>34900</v>
      </c>
      <c r="D116" s="86">
        <f t="shared" si="18"/>
        <v>509388</v>
      </c>
      <c r="E116" s="86">
        <f t="shared" si="18"/>
        <v>0</v>
      </c>
      <c r="F116" s="86">
        <f t="shared" si="18"/>
        <v>0</v>
      </c>
      <c r="G116" s="86">
        <f t="shared" si="18"/>
        <v>0</v>
      </c>
      <c r="H116" s="86">
        <f t="shared" si="18"/>
        <v>0</v>
      </c>
      <c r="I116" s="86">
        <f t="shared" si="18"/>
        <v>0</v>
      </c>
      <c r="J116" s="86">
        <f t="shared" si="18"/>
        <v>544288</v>
      </c>
    </row>
    <row r="117" spans="2:10" ht="15" customHeight="1" x14ac:dyDescent="0.25">
      <c r="B117" s="577"/>
      <c r="C117" s="268"/>
      <c r="D117" s="89"/>
      <c r="E117" s="89"/>
      <c r="F117" s="89"/>
      <c r="G117" s="89"/>
      <c r="H117" s="260"/>
      <c r="I117" s="89"/>
      <c r="J117" s="260"/>
    </row>
    <row r="118" spans="2:10" ht="15" customHeight="1" x14ac:dyDescent="0.25">
      <c r="B118" s="577" t="s">
        <v>95</v>
      </c>
      <c r="C118" s="268">
        <v>4000</v>
      </c>
      <c r="D118" s="89">
        <v>268201</v>
      </c>
      <c r="E118" s="89"/>
      <c r="F118" s="89"/>
      <c r="G118" s="89"/>
      <c r="H118" s="261"/>
      <c r="I118" s="89"/>
      <c r="J118" s="261">
        <f>+C118+D118+E118+F118+G118+H118+I118</f>
        <v>272201</v>
      </c>
    </row>
    <row r="119" spans="2:10" ht="15" customHeight="1" x14ac:dyDescent="0.25">
      <c r="B119" s="577" t="s">
        <v>96</v>
      </c>
      <c r="C119" s="268">
        <v>5000</v>
      </c>
      <c r="D119" s="89">
        <v>178774</v>
      </c>
      <c r="E119" s="89"/>
      <c r="F119" s="89"/>
      <c r="G119" s="89"/>
      <c r="H119" s="261"/>
      <c r="I119" s="89"/>
      <c r="J119" s="261">
        <f>+C119+D119+E119+F119+G119+H119+I119</f>
        <v>183774</v>
      </c>
    </row>
    <row r="120" spans="2:10" ht="15" customHeight="1" x14ac:dyDescent="0.25">
      <c r="B120" s="577" t="s">
        <v>97</v>
      </c>
      <c r="C120" s="268">
        <v>50250</v>
      </c>
      <c r="D120" s="89">
        <v>760671.3</v>
      </c>
      <c r="E120" s="89"/>
      <c r="F120" s="89"/>
      <c r="G120" s="89">
        <v>1500</v>
      </c>
      <c r="H120" s="89">
        <v>8000</v>
      </c>
      <c r="I120" s="89"/>
      <c r="J120" s="261">
        <f>+C120+D120+E120+F120+G120+H120+I120</f>
        <v>820421.3</v>
      </c>
    </row>
    <row r="121" spans="2:10" ht="15" customHeight="1" x14ac:dyDescent="0.25">
      <c r="B121" s="570" t="s">
        <v>141</v>
      </c>
      <c r="C121" s="269">
        <f t="shared" ref="C121:J121" si="19">SUM(C118:C120)</f>
        <v>59250</v>
      </c>
      <c r="D121" s="86">
        <f t="shared" si="19"/>
        <v>1207646.3</v>
      </c>
      <c r="E121" s="86">
        <f t="shared" si="19"/>
        <v>0</v>
      </c>
      <c r="F121" s="86">
        <f t="shared" si="19"/>
        <v>0</v>
      </c>
      <c r="G121" s="86">
        <f t="shared" si="19"/>
        <v>1500</v>
      </c>
      <c r="H121" s="86">
        <f t="shared" si="19"/>
        <v>8000</v>
      </c>
      <c r="I121" s="86">
        <f t="shared" si="19"/>
        <v>0</v>
      </c>
      <c r="J121" s="86">
        <f t="shared" si="19"/>
        <v>1276396.3</v>
      </c>
    </row>
    <row r="122" spans="2:10" ht="15" customHeight="1" thickBot="1" x14ac:dyDescent="0.3">
      <c r="B122" s="593"/>
      <c r="C122" s="266"/>
      <c r="D122" s="87"/>
      <c r="E122" s="87"/>
      <c r="F122" s="87"/>
      <c r="G122" s="87"/>
      <c r="H122" s="327"/>
      <c r="I122" s="87"/>
      <c r="J122" s="327"/>
    </row>
    <row r="123" spans="2:10" ht="15" customHeight="1" x14ac:dyDescent="0.25">
      <c r="B123" s="14" t="s">
        <v>219</v>
      </c>
    </row>
    <row r="125" spans="2:10" ht="15" customHeight="1" x14ac:dyDescent="0.25">
      <c r="B125" s="864" t="s">
        <v>190</v>
      </c>
      <c r="C125" s="864"/>
      <c r="D125" s="864"/>
      <c r="E125" s="864"/>
      <c r="F125" s="864"/>
      <c r="G125" s="864"/>
      <c r="H125" s="864"/>
      <c r="I125" s="864"/>
      <c r="J125" s="864"/>
    </row>
    <row r="126" spans="2:10" ht="15" customHeight="1" x14ac:dyDescent="0.25">
      <c r="B126" s="864" t="s">
        <v>137</v>
      </c>
      <c r="C126" s="864"/>
      <c r="D126" s="864"/>
      <c r="E126" s="864"/>
      <c r="F126" s="864"/>
      <c r="G126" s="864"/>
      <c r="H126" s="864"/>
      <c r="I126" s="864"/>
      <c r="J126" s="864"/>
    </row>
    <row r="127" spans="2:10" ht="15" customHeight="1" x14ac:dyDescent="0.25">
      <c r="B127" s="864">
        <v>2017</v>
      </c>
      <c r="C127" s="864"/>
      <c r="D127" s="864"/>
      <c r="E127" s="864"/>
      <c r="F127" s="864"/>
      <c r="G127" s="864"/>
      <c r="H127" s="864"/>
      <c r="I127" s="864"/>
      <c r="J127" s="864"/>
    </row>
    <row r="128" spans="2:10" ht="15" customHeight="1" thickBot="1" x14ac:dyDescent="0.3">
      <c r="B128" s="929" t="s">
        <v>135</v>
      </c>
      <c r="C128" s="929"/>
      <c r="D128" s="929"/>
      <c r="E128" s="929"/>
      <c r="F128" s="929"/>
      <c r="G128" s="929"/>
      <c r="H128" s="929"/>
      <c r="I128" s="929"/>
      <c r="J128" s="929"/>
    </row>
    <row r="129" spans="2:10" ht="15" customHeight="1" thickBot="1" x14ac:dyDescent="0.3">
      <c r="B129" s="594" t="s">
        <v>100</v>
      </c>
      <c r="C129" s="755" t="s">
        <v>52</v>
      </c>
      <c r="D129" s="755" t="s">
        <v>123</v>
      </c>
      <c r="E129" s="755" t="s">
        <v>181</v>
      </c>
      <c r="F129" s="755" t="s">
        <v>131</v>
      </c>
      <c r="G129" s="755" t="s">
        <v>232</v>
      </c>
      <c r="H129" s="755" t="s">
        <v>233</v>
      </c>
      <c r="I129" s="755" t="s">
        <v>84</v>
      </c>
      <c r="J129" s="755" t="s">
        <v>78</v>
      </c>
    </row>
    <row r="130" spans="2:10" ht="15" customHeight="1" x14ac:dyDescent="0.25">
      <c r="B130" s="574"/>
      <c r="C130" s="264"/>
      <c r="D130" s="85"/>
      <c r="E130" s="305"/>
      <c r="F130" s="305"/>
      <c r="G130" s="305"/>
      <c r="H130" s="257"/>
      <c r="I130" s="305"/>
      <c r="J130" s="257"/>
    </row>
    <row r="131" spans="2:10" ht="15" customHeight="1" x14ac:dyDescent="0.25">
      <c r="B131" s="570" t="s">
        <v>103</v>
      </c>
      <c r="C131" s="265">
        <f t="shared" ref="C131:H131" si="20">+C137+C142+C147+C152</f>
        <v>363600</v>
      </c>
      <c r="D131" s="86">
        <f t="shared" si="20"/>
        <v>3918532.3400000003</v>
      </c>
      <c r="E131" s="86">
        <f t="shared" si="20"/>
        <v>0</v>
      </c>
      <c r="F131" s="86">
        <f t="shared" si="20"/>
        <v>0</v>
      </c>
      <c r="G131" s="86">
        <f t="shared" si="20"/>
        <v>0</v>
      </c>
      <c r="H131" s="86">
        <f t="shared" si="20"/>
        <v>0</v>
      </c>
      <c r="I131" s="86">
        <f>+I137+I142+I147+I152</f>
        <v>0</v>
      </c>
      <c r="J131" s="86">
        <f>+J137+J142+J147+J152</f>
        <v>4282132.34</v>
      </c>
    </row>
    <row r="132" spans="2:10" ht="15" customHeight="1" thickBot="1" x14ac:dyDescent="0.3">
      <c r="B132" s="593"/>
      <c r="C132" s="266"/>
      <c r="D132" s="87"/>
      <c r="E132" s="306"/>
      <c r="F132" s="306"/>
      <c r="G132" s="306"/>
      <c r="H132" s="259"/>
      <c r="I132" s="306"/>
      <c r="J132" s="259"/>
    </row>
    <row r="133" spans="2:10" ht="15" customHeight="1" x14ac:dyDescent="0.25">
      <c r="B133" s="579"/>
      <c r="C133" s="267"/>
      <c r="D133" s="88"/>
      <c r="E133" s="307"/>
      <c r="F133" s="307"/>
      <c r="G133" s="307"/>
      <c r="H133" s="258"/>
      <c r="I133" s="307"/>
      <c r="J133" s="258"/>
    </row>
    <row r="134" spans="2:10" ht="15" customHeight="1" x14ac:dyDescent="0.25">
      <c r="B134" s="577" t="s">
        <v>86</v>
      </c>
      <c r="C134" s="268">
        <v>24500</v>
      </c>
      <c r="D134" s="89">
        <v>293324</v>
      </c>
      <c r="E134" s="89"/>
      <c r="F134" s="89"/>
      <c r="G134" s="89"/>
      <c r="H134" s="261"/>
      <c r="I134" s="89"/>
      <c r="J134" s="261">
        <f>+C134+D134+E134+F134+G134+H134+I134</f>
        <v>317824</v>
      </c>
    </row>
    <row r="135" spans="2:10" ht="15" customHeight="1" x14ac:dyDescent="0.25">
      <c r="B135" s="577" t="s">
        <v>87</v>
      </c>
      <c r="C135" s="268">
        <v>31200</v>
      </c>
      <c r="D135" s="89">
        <v>184606</v>
      </c>
      <c r="E135" s="89"/>
      <c r="F135" s="89"/>
      <c r="G135" s="89"/>
      <c r="H135" s="261"/>
      <c r="I135" s="89"/>
      <c r="J135" s="261">
        <f>+C135+D135+E135+F135+G135+H135+I135</f>
        <v>215806</v>
      </c>
    </row>
    <row r="136" spans="2:10" ht="15" customHeight="1" x14ac:dyDescent="0.25">
      <c r="B136" s="577" t="s">
        <v>88</v>
      </c>
      <c r="C136" s="268">
        <v>40000</v>
      </c>
      <c r="D136" s="89">
        <v>128574</v>
      </c>
      <c r="E136" s="89"/>
      <c r="F136" s="89"/>
      <c r="G136" s="89"/>
      <c r="H136" s="261"/>
      <c r="I136" s="89"/>
      <c r="J136" s="261">
        <f>+C136+D136+E136+F136+G136+H136+I136</f>
        <v>168574</v>
      </c>
    </row>
    <row r="137" spans="2:10" ht="15" customHeight="1" x14ac:dyDescent="0.25">
      <c r="B137" s="570" t="s">
        <v>138</v>
      </c>
      <c r="C137" s="269">
        <f t="shared" ref="C137:J137" si="21">SUM(C134:C136)</f>
        <v>95700</v>
      </c>
      <c r="D137" s="86">
        <f t="shared" si="21"/>
        <v>606504</v>
      </c>
      <c r="E137" s="86">
        <f t="shared" si="21"/>
        <v>0</v>
      </c>
      <c r="F137" s="86">
        <f t="shared" si="21"/>
        <v>0</v>
      </c>
      <c r="G137" s="86">
        <f t="shared" si="21"/>
        <v>0</v>
      </c>
      <c r="H137" s="86">
        <f t="shared" si="21"/>
        <v>0</v>
      </c>
      <c r="I137" s="86">
        <f t="shared" si="21"/>
        <v>0</v>
      </c>
      <c r="J137" s="86">
        <f t="shared" si="21"/>
        <v>702204</v>
      </c>
    </row>
    <row r="138" spans="2:10" ht="15" customHeight="1" x14ac:dyDescent="0.25">
      <c r="B138" s="577"/>
      <c r="C138" s="268"/>
      <c r="D138" s="89"/>
      <c r="E138" s="89"/>
      <c r="F138" s="89"/>
      <c r="G138" s="89"/>
      <c r="H138" s="260"/>
      <c r="I138" s="89"/>
      <c r="J138" s="260"/>
    </row>
    <row r="139" spans="2:10" ht="15" customHeight="1" x14ac:dyDescent="0.25">
      <c r="B139" s="577" t="s">
        <v>89</v>
      </c>
      <c r="C139" s="268">
        <v>30120</v>
      </c>
      <c r="D139" s="89">
        <v>388985</v>
      </c>
      <c r="E139" s="89"/>
      <c r="F139" s="89"/>
      <c r="G139" s="89"/>
      <c r="H139" s="261"/>
      <c r="I139" s="89">
        <v>0</v>
      </c>
      <c r="J139" s="261">
        <f>+C139+D139+E139+F139+G139+H139+I139</f>
        <v>419105</v>
      </c>
    </row>
    <row r="140" spans="2:10" ht="15" customHeight="1" x14ac:dyDescent="0.25">
      <c r="B140" s="577" t="s">
        <v>90</v>
      </c>
      <c r="C140" s="268">
        <v>31760</v>
      </c>
      <c r="D140" s="89">
        <v>360751</v>
      </c>
      <c r="E140" s="89"/>
      <c r="F140" s="89"/>
      <c r="G140" s="89"/>
      <c r="H140" s="261"/>
      <c r="I140" s="89"/>
      <c r="J140" s="261">
        <f>+C140+D140+E140+F140+G140+H140+I140</f>
        <v>392511</v>
      </c>
    </row>
    <row r="141" spans="2:10" ht="15" customHeight="1" x14ac:dyDescent="0.25">
      <c r="B141" s="577" t="s">
        <v>91</v>
      </c>
      <c r="C141" s="268">
        <v>34100</v>
      </c>
      <c r="D141" s="89">
        <v>423483</v>
      </c>
      <c r="E141" s="89"/>
      <c r="F141" s="89"/>
      <c r="G141" s="89"/>
      <c r="H141" s="261"/>
      <c r="I141" s="89"/>
      <c r="J141" s="261">
        <f>+C141+D141+E141+F141+G141+H141+I141</f>
        <v>457583</v>
      </c>
    </row>
    <row r="142" spans="2:10" ht="15" customHeight="1" x14ac:dyDescent="0.25">
      <c r="B142" s="570" t="s">
        <v>139</v>
      </c>
      <c r="C142" s="269">
        <f t="shared" ref="C142:J142" si="22">SUM(C139:C141)</f>
        <v>95980</v>
      </c>
      <c r="D142" s="86">
        <f t="shared" si="22"/>
        <v>1173219</v>
      </c>
      <c r="E142" s="86">
        <f t="shared" si="22"/>
        <v>0</v>
      </c>
      <c r="F142" s="86">
        <f t="shared" si="22"/>
        <v>0</v>
      </c>
      <c r="G142" s="86">
        <f t="shared" si="22"/>
        <v>0</v>
      </c>
      <c r="H142" s="86">
        <f t="shared" si="22"/>
        <v>0</v>
      </c>
      <c r="I142" s="86">
        <f t="shared" si="22"/>
        <v>0</v>
      </c>
      <c r="J142" s="86">
        <f t="shared" si="22"/>
        <v>1269199</v>
      </c>
    </row>
    <row r="143" spans="2:10" ht="15" customHeight="1" x14ac:dyDescent="0.25">
      <c r="B143" s="577"/>
      <c r="C143" s="268"/>
      <c r="D143" s="89"/>
      <c r="E143" s="89"/>
      <c r="F143" s="89"/>
      <c r="G143" s="89"/>
      <c r="H143" s="260"/>
      <c r="I143" s="89"/>
      <c r="J143" s="260"/>
    </row>
    <row r="144" spans="2:10" ht="15" customHeight="1" x14ac:dyDescent="0.25">
      <c r="B144" s="577" t="s">
        <v>93</v>
      </c>
      <c r="C144" s="268">
        <v>25500</v>
      </c>
      <c r="D144" s="89">
        <v>300409</v>
      </c>
      <c r="E144" s="89"/>
      <c r="F144" s="89"/>
      <c r="G144" s="89"/>
      <c r="H144" s="261"/>
      <c r="I144" s="89"/>
      <c r="J144" s="261">
        <f>+C144+D144+E144+F144+G144+H144+I144</f>
        <v>325909</v>
      </c>
    </row>
    <row r="145" spans="2:10" ht="15" customHeight="1" x14ac:dyDescent="0.25">
      <c r="B145" s="577" t="s">
        <v>94</v>
      </c>
      <c r="C145" s="268">
        <v>20150</v>
      </c>
      <c r="D145" s="89">
        <v>380170</v>
      </c>
      <c r="E145" s="89"/>
      <c r="F145" s="89"/>
      <c r="G145" s="89"/>
      <c r="H145" s="261"/>
      <c r="I145" s="89"/>
      <c r="J145" s="261">
        <f>+C145+D145+E145+F145+G145+H145+I145</f>
        <v>400320</v>
      </c>
    </row>
    <row r="146" spans="2:10" ht="15" customHeight="1" x14ac:dyDescent="0.25">
      <c r="B146" s="577" t="s">
        <v>101</v>
      </c>
      <c r="C146" s="268">
        <v>31570</v>
      </c>
      <c r="D146" s="89">
        <v>382064.03</v>
      </c>
      <c r="E146" s="89"/>
      <c r="F146" s="89"/>
      <c r="G146" s="89"/>
      <c r="H146" s="261"/>
      <c r="I146" s="89"/>
      <c r="J146" s="261">
        <f>+C146+D146+E146+F146+G146+H146+I146</f>
        <v>413634.03</v>
      </c>
    </row>
    <row r="147" spans="2:10" ht="15" customHeight="1" x14ac:dyDescent="0.25">
      <c r="B147" s="570" t="s">
        <v>140</v>
      </c>
      <c r="C147" s="269">
        <f t="shared" ref="C147:J147" si="23">SUM(C144:C146)</f>
        <v>77220</v>
      </c>
      <c r="D147" s="86">
        <f t="shared" si="23"/>
        <v>1062643.03</v>
      </c>
      <c r="E147" s="86">
        <f t="shared" si="23"/>
        <v>0</v>
      </c>
      <c r="F147" s="86">
        <f t="shared" si="23"/>
        <v>0</v>
      </c>
      <c r="G147" s="86">
        <f t="shared" si="23"/>
        <v>0</v>
      </c>
      <c r="H147" s="86">
        <f t="shared" si="23"/>
        <v>0</v>
      </c>
      <c r="I147" s="86">
        <f t="shared" si="23"/>
        <v>0</v>
      </c>
      <c r="J147" s="86">
        <f t="shared" si="23"/>
        <v>1139863.03</v>
      </c>
    </row>
    <row r="148" spans="2:10" ht="15" customHeight="1" x14ac:dyDescent="0.25">
      <c r="B148" s="577"/>
      <c r="C148" s="268"/>
      <c r="D148" s="89"/>
      <c r="E148" s="89"/>
      <c r="F148" s="89"/>
      <c r="G148" s="89"/>
      <c r="H148" s="260"/>
      <c r="I148" s="89"/>
      <c r="J148" s="260"/>
    </row>
    <row r="149" spans="2:10" ht="15" customHeight="1" x14ac:dyDescent="0.25">
      <c r="B149" s="577" t="s">
        <v>95</v>
      </c>
      <c r="C149" s="268">
        <v>25200</v>
      </c>
      <c r="D149" s="89">
        <v>469848.91</v>
      </c>
      <c r="E149" s="89"/>
      <c r="F149" s="89"/>
      <c r="G149" s="89"/>
      <c r="H149" s="261"/>
      <c r="I149" s="89"/>
      <c r="J149" s="261">
        <f>+C149+D149+E149+F149+G149+H149+I149</f>
        <v>495048.91</v>
      </c>
    </row>
    <row r="150" spans="2:10" ht="15" customHeight="1" x14ac:dyDescent="0.25">
      <c r="B150" s="577" t="s">
        <v>96</v>
      </c>
      <c r="C150" s="268">
        <v>35550</v>
      </c>
      <c r="D150" s="89">
        <v>321378</v>
      </c>
      <c r="E150" s="89"/>
      <c r="F150" s="89"/>
      <c r="G150" s="89"/>
      <c r="H150" s="261"/>
      <c r="I150" s="89"/>
      <c r="J150" s="261">
        <f>+C150+D150+E150+F150+G150+H150+I150</f>
        <v>356928</v>
      </c>
    </row>
    <row r="151" spans="2:10" ht="15" customHeight="1" x14ac:dyDescent="0.25">
      <c r="B151" s="577" t="s">
        <v>97</v>
      </c>
      <c r="C151" s="268">
        <v>33950</v>
      </c>
      <c r="D151" s="89">
        <v>284939.40000000002</v>
      </c>
      <c r="E151" s="89"/>
      <c r="F151" s="89"/>
      <c r="G151" s="89"/>
      <c r="H151" s="261"/>
      <c r="I151" s="89"/>
      <c r="J151" s="261">
        <f>+C151+D151+E151+F151+G151+H151+I151</f>
        <v>318889.40000000002</v>
      </c>
    </row>
    <row r="152" spans="2:10" ht="15" customHeight="1" x14ac:dyDescent="0.25">
      <c r="B152" s="570" t="s">
        <v>141</v>
      </c>
      <c r="C152" s="269">
        <f t="shared" ref="C152:J152" si="24">SUM(C149:C151)</f>
        <v>94700</v>
      </c>
      <c r="D152" s="86">
        <f t="shared" si="24"/>
        <v>1076166.31</v>
      </c>
      <c r="E152" s="86">
        <f t="shared" si="24"/>
        <v>0</v>
      </c>
      <c r="F152" s="86">
        <f t="shared" si="24"/>
        <v>0</v>
      </c>
      <c r="G152" s="86">
        <f t="shared" si="24"/>
        <v>0</v>
      </c>
      <c r="H152" s="86">
        <f t="shared" si="24"/>
        <v>0</v>
      </c>
      <c r="I152" s="86">
        <f t="shared" si="24"/>
        <v>0</v>
      </c>
      <c r="J152" s="86">
        <f t="shared" si="24"/>
        <v>1170866.31</v>
      </c>
    </row>
    <row r="153" spans="2:10" ht="15" customHeight="1" thickBot="1" x14ac:dyDescent="0.3">
      <c r="B153" s="593"/>
      <c r="C153" s="266"/>
      <c r="D153" s="87"/>
      <c r="E153" s="87"/>
      <c r="F153" s="87"/>
      <c r="G153" s="87"/>
      <c r="H153" s="327"/>
      <c r="I153" s="87"/>
      <c r="J153" s="327"/>
    </row>
    <row r="154" spans="2:10" ht="15" customHeight="1" x14ac:dyDescent="0.25">
      <c r="B154" s="14" t="s">
        <v>219</v>
      </c>
    </row>
    <row r="156" spans="2:10" ht="15" customHeight="1" x14ac:dyDescent="0.25">
      <c r="B156" s="864" t="s">
        <v>190</v>
      </c>
      <c r="C156" s="864"/>
      <c r="D156" s="864"/>
      <c r="E156" s="864"/>
      <c r="F156" s="864"/>
      <c r="G156" s="864"/>
      <c r="H156" s="864"/>
      <c r="I156" s="864"/>
      <c r="J156" s="864"/>
    </row>
    <row r="157" spans="2:10" ht="15" customHeight="1" x14ac:dyDescent="0.25">
      <c r="B157" s="864" t="s">
        <v>137</v>
      </c>
      <c r="C157" s="864"/>
      <c r="D157" s="864"/>
      <c r="E157" s="864"/>
      <c r="F157" s="864"/>
      <c r="G157" s="864"/>
      <c r="H157" s="864"/>
      <c r="I157" s="864"/>
      <c r="J157" s="864"/>
    </row>
    <row r="158" spans="2:10" ht="15" customHeight="1" x14ac:dyDescent="0.25">
      <c r="B158" s="864">
        <v>2016</v>
      </c>
      <c r="C158" s="864"/>
      <c r="D158" s="864"/>
      <c r="E158" s="864"/>
      <c r="F158" s="864"/>
      <c r="G158" s="864"/>
      <c r="H158" s="864"/>
      <c r="I158" s="864"/>
      <c r="J158" s="864"/>
    </row>
    <row r="159" spans="2:10" ht="15" customHeight="1" thickBot="1" x14ac:dyDescent="0.3">
      <c r="B159" s="929" t="s">
        <v>135</v>
      </c>
      <c r="C159" s="929"/>
      <c r="D159" s="929"/>
      <c r="E159" s="929"/>
      <c r="F159" s="929"/>
      <c r="G159" s="929"/>
      <c r="H159" s="929"/>
      <c r="I159" s="929"/>
      <c r="J159" s="929"/>
    </row>
    <row r="160" spans="2:10" ht="15" customHeight="1" thickBot="1" x14ac:dyDescent="0.3">
      <c r="B160" s="594" t="s">
        <v>100</v>
      </c>
      <c r="C160" s="732" t="s">
        <v>52</v>
      </c>
      <c r="D160" s="732" t="s">
        <v>123</v>
      </c>
      <c r="E160" s="732" t="s">
        <v>181</v>
      </c>
      <c r="F160" s="732" t="s">
        <v>131</v>
      </c>
      <c r="G160" s="732" t="s">
        <v>232</v>
      </c>
      <c r="H160" s="732" t="s">
        <v>233</v>
      </c>
      <c r="I160" s="732" t="s">
        <v>84</v>
      </c>
      <c r="J160" s="732" t="s">
        <v>78</v>
      </c>
    </row>
    <row r="161" spans="2:10" ht="15" customHeight="1" x14ac:dyDescent="0.25">
      <c r="B161" s="574"/>
      <c r="C161" s="264"/>
      <c r="D161" s="85"/>
      <c r="E161" s="305"/>
      <c r="F161" s="305"/>
      <c r="G161" s="305"/>
      <c r="H161" s="257"/>
      <c r="I161" s="305"/>
      <c r="J161" s="257"/>
    </row>
    <row r="162" spans="2:10" ht="15" customHeight="1" x14ac:dyDescent="0.25">
      <c r="B162" s="570" t="s">
        <v>103</v>
      </c>
      <c r="C162" s="265">
        <f t="shared" ref="C162:H162" si="25">+C168+C173+C178+C183</f>
        <v>180550</v>
      </c>
      <c r="D162" s="86">
        <f t="shared" si="25"/>
        <v>5074343</v>
      </c>
      <c r="E162" s="86">
        <f t="shared" si="25"/>
        <v>0</v>
      </c>
      <c r="F162" s="86">
        <f t="shared" si="25"/>
        <v>0</v>
      </c>
      <c r="G162" s="86">
        <f t="shared" si="25"/>
        <v>0</v>
      </c>
      <c r="H162" s="86">
        <f t="shared" si="25"/>
        <v>5000</v>
      </c>
      <c r="I162" s="86">
        <f>+I168+I173+I178+I183</f>
        <v>0</v>
      </c>
      <c r="J162" s="86">
        <f>+J168+J173+J178+J183</f>
        <v>5259893</v>
      </c>
    </row>
    <row r="163" spans="2:10" ht="15" customHeight="1" thickBot="1" x14ac:dyDescent="0.3">
      <c r="B163" s="593"/>
      <c r="C163" s="266"/>
      <c r="D163" s="87"/>
      <c r="E163" s="306"/>
      <c r="F163" s="306"/>
      <c r="G163" s="306"/>
      <c r="H163" s="259"/>
      <c r="I163" s="306"/>
      <c r="J163" s="259"/>
    </row>
    <row r="164" spans="2:10" ht="15" customHeight="1" x14ac:dyDescent="0.25">
      <c r="B164" s="579"/>
      <c r="C164" s="267"/>
      <c r="D164" s="88"/>
      <c r="E164" s="307"/>
      <c r="F164" s="307"/>
      <c r="G164" s="307"/>
      <c r="H164" s="258"/>
      <c r="I164" s="307"/>
      <c r="J164" s="258"/>
    </row>
    <row r="165" spans="2:10" ht="15" customHeight="1" x14ac:dyDescent="0.25">
      <c r="B165" s="577" t="s">
        <v>86</v>
      </c>
      <c r="C165" s="268">
        <v>13100</v>
      </c>
      <c r="D165" s="89">
        <v>475437</v>
      </c>
      <c r="E165" s="89"/>
      <c r="F165" s="89"/>
      <c r="G165" s="89"/>
      <c r="H165" s="261"/>
      <c r="I165" s="89"/>
      <c r="J165" s="261">
        <f>+C165+D165+E165+F165+G165+H165+I165</f>
        <v>488537</v>
      </c>
    </row>
    <row r="166" spans="2:10" ht="15" customHeight="1" x14ac:dyDescent="0.25">
      <c r="B166" s="577" t="s">
        <v>87</v>
      </c>
      <c r="C166" s="268">
        <v>13250</v>
      </c>
      <c r="D166" s="89">
        <v>202741</v>
      </c>
      <c r="E166" s="89"/>
      <c r="F166" s="89"/>
      <c r="G166" s="89"/>
      <c r="H166" s="261"/>
      <c r="I166" s="89"/>
      <c r="J166" s="261">
        <f>+C166+D166+E166+F166+G166+H166+I166</f>
        <v>215991</v>
      </c>
    </row>
    <row r="167" spans="2:10" ht="15" customHeight="1" x14ac:dyDescent="0.25">
      <c r="B167" s="577" t="s">
        <v>88</v>
      </c>
      <c r="C167" s="268">
        <v>20400</v>
      </c>
      <c r="D167" s="89">
        <v>417275</v>
      </c>
      <c r="E167" s="89"/>
      <c r="F167" s="89"/>
      <c r="G167" s="89"/>
      <c r="H167" s="261"/>
      <c r="I167" s="89"/>
      <c r="J167" s="261">
        <f>+C167+D167+E167+F167+G167+H167+I167</f>
        <v>437675</v>
      </c>
    </row>
    <row r="168" spans="2:10" ht="15" customHeight="1" x14ac:dyDescent="0.25">
      <c r="B168" s="570" t="s">
        <v>138</v>
      </c>
      <c r="C168" s="269">
        <f t="shared" ref="C168:J168" si="26">SUM(C165:C167)</f>
        <v>46750</v>
      </c>
      <c r="D168" s="86">
        <f t="shared" si="26"/>
        <v>1095453</v>
      </c>
      <c r="E168" s="86">
        <f t="shared" si="26"/>
        <v>0</v>
      </c>
      <c r="F168" s="86">
        <f t="shared" si="26"/>
        <v>0</v>
      </c>
      <c r="G168" s="86">
        <f t="shared" si="26"/>
        <v>0</v>
      </c>
      <c r="H168" s="86">
        <f t="shared" si="26"/>
        <v>0</v>
      </c>
      <c r="I168" s="86">
        <f t="shared" si="26"/>
        <v>0</v>
      </c>
      <c r="J168" s="86">
        <f t="shared" si="26"/>
        <v>1142203</v>
      </c>
    </row>
    <row r="169" spans="2:10" ht="15" customHeight="1" x14ac:dyDescent="0.25">
      <c r="B169" s="577"/>
      <c r="C169" s="268"/>
      <c r="D169" s="89"/>
      <c r="E169" s="89"/>
      <c r="F169" s="89"/>
      <c r="G169" s="89"/>
      <c r="H169" s="260"/>
      <c r="I169" s="89"/>
      <c r="J169" s="260"/>
    </row>
    <row r="170" spans="2:10" ht="15" customHeight="1" x14ac:dyDescent="0.25">
      <c r="B170" s="577" t="s">
        <v>89</v>
      </c>
      <c r="C170" s="268">
        <v>14150</v>
      </c>
      <c r="D170" s="89">
        <v>678711</v>
      </c>
      <c r="E170" s="89"/>
      <c r="F170" s="89"/>
      <c r="G170" s="89"/>
      <c r="H170" s="261"/>
      <c r="I170" s="89">
        <v>0</v>
      </c>
      <c r="J170" s="261">
        <f>+C170+D170+E170+F170+G170+H170+I170</f>
        <v>692861</v>
      </c>
    </row>
    <row r="171" spans="2:10" ht="15" customHeight="1" x14ac:dyDescent="0.25">
      <c r="B171" s="577" t="s">
        <v>90</v>
      </c>
      <c r="C171" s="268">
        <v>10300</v>
      </c>
      <c r="D171" s="89">
        <v>621466</v>
      </c>
      <c r="E171" s="89"/>
      <c r="F171" s="89"/>
      <c r="G171" s="89"/>
      <c r="H171" s="261"/>
      <c r="I171" s="89"/>
      <c r="J171" s="261">
        <f>+C171+D171+E171+F171+G171+H171+I171</f>
        <v>631766</v>
      </c>
    </row>
    <row r="172" spans="2:10" ht="15" customHeight="1" x14ac:dyDescent="0.25">
      <c r="B172" s="577" t="s">
        <v>91</v>
      </c>
      <c r="C172" s="268">
        <v>9600</v>
      </c>
      <c r="D172" s="89">
        <v>457623</v>
      </c>
      <c r="E172" s="89"/>
      <c r="F172" s="89"/>
      <c r="G172" s="89"/>
      <c r="H172" s="261"/>
      <c r="I172" s="89"/>
      <c r="J172" s="261">
        <f>+C172+D172+E172+F172+G172+H172+I172</f>
        <v>467223</v>
      </c>
    </row>
    <row r="173" spans="2:10" ht="15" customHeight="1" x14ac:dyDescent="0.25">
      <c r="B173" s="570" t="s">
        <v>139</v>
      </c>
      <c r="C173" s="269">
        <f t="shared" ref="C173:J173" si="27">SUM(C170:C172)</f>
        <v>34050</v>
      </c>
      <c r="D173" s="86">
        <f t="shared" si="27"/>
        <v>1757800</v>
      </c>
      <c r="E173" s="86">
        <f t="shared" si="27"/>
        <v>0</v>
      </c>
      <c r="F173" s="86">
        <f t="shared" si="27"/>
        <v>0</v>
      </c>
      <c r="G173" s="86">
        <f t="shared" si="27"/>
        <v>0</v>
      </c>
      <c r="H173" s="86">
        <f t="shared" si="27"/>
        <v>0</v>
      </c>
      <c r="I173" s="86">
        <f t="shared" si="27"/>
        <v>0</v>
      </c>
      <c r="J173" s="86">
        <f t="shared" si="27"/>
        <v>1791850</v>
      </c>
    </row>
    <row r="174" spans="2:10" ht="15" customHeight="1" x14ac:dyDescent="0.25">
      <c r="B174" s="577"/>
      <c r="C174" s="268"/>
      <c r="D174" s="89"/>
      <c r="E174" s="89"/>
      <c r="F174" s="89"/>
      <c r="G174" s="89"/>
      <c r="H174" s="260"/>
      <c r="I174" s="89"/>
      <c r="J174" s="260"/>
    </row>
    <row r="175" spans="2:10" ht="15" customHeight="1" x14ac:dyDescent="0.25">
      <c r="B175" s="577" t="s">
        <v>93</v>
      </c>
      <c r="C175" s="268">
        <v>18100</v>
      </c>
      <c r="D175" s="89">
        <v>405887</v>
      </c>
      <c r="E175" s="89"/>
      <c r="F175" s="89"/>
      <c r="G175" s="89"/>
      <c r="H175" s="261"/>
      <c r="I175" s="89"/>
      <c r="J175" s="261">
        <f>+C175+D175+E175+F175+G175+H175+I175</f>
        <v>423987</v>
      </c>
    </row>
    <row r="176" spans="2:10" ht="15" customHeight="1" x14ac:dyDescent="0.25">
      <c r="B176" s="577" t="s">
        <v>94</v>
      </c>
      <c r="C176" s="268">
        <v>17600</v>
      </c>
      <c r="D176" s="89">
        <v>481050</v>
      </c>
      <c r="E176" s="89"/>
      <c r="F176" s="89"/>
      <c r="G176" s="89"/>
      <c r="H176" s="261"/>
      <c r="I176" s="89"/>
      <c r="J176" s="261">
        <f>+C176+D176+E176+F176+G176+H176+I176</f>
        <v>498650</v>
      </c>
    </row>
    <row r="177" spans="2:10" ht="15" customHeight="1" x14ac:dyDescent="0.25">
      <c r="B177" s="577" t="s">
        <v>101</v>
      </c>
      <c r="C177" s="268">
        <v>13500</v>
      </c>
      <c r="D177" s="89">
        <v>198225</v>
      </c>
      <c r="E177" s="89"/>
      <c r="F177" s="89"/>
      <c r="G177" s="89"/>
      <c r="H177" s="261"/>
      <c r="I177" s="89"/>
      <c r="J177" s="261">
        <f>+C177+D177+E177+F177+G177+H177+I177</f>
        <v>211725</v>
      </c>
    </row>
    <row r="178" spans="2:10" ht="15" customHeight="1" x14ac:dyDescent="0.25">
      <c r="B178" s="570" t="s">
        <v>140</v>
      </c>
      <c r="C178" s="269">
        <f t="shared" ref="C178:J178" si="28">SUM(C175:C177)</f>
        <v>49200</v>
      </c>
      <c r="D178" s="86">
        <f t="shared" si="28"/>
        <v>1085162</v>
      </c>
      <c r="E178" s="86">
        <f t="shared" si="28"/>
        <v>0</v>
      </c>
      <c r="F178" s="86">
        <f t="shared" si="28"/>
        <v>0</v>
      </c>
      <c r="G178" s="86">
        <f t="shared" si="28"/>
        <v>0</v>
      </c>
      <c r="H178" s="86">
        <f t="shared" si="28"/>
        <v>0</v>
      </c>
      <c r="I178" s="86">
        <f t="shared" si="28"/>
        <v>0</v>
      </c>
      <c r="J178" s="86">
        <f t="shared" si="28"/>
        <v>1134362</v>
      </c>
    </row>
    <row r="179" spans="2:10" ht="15" customHeight="1" x14ac:dyDescent="0.25">
      <c r="B179" s="577"/>
      <c r="C179" s="268"/>
      <c r="D179" s="89"/>
      <c r="E179" s="89"/>
      <c r="F179" s="89"/>
      <c r="G179" s="89"/>
      <c r="H179" s="260"/>
      <c r="I179" s="89"/>
      <c r="J179" s="260"/>
    </row>
    <row r="180" spans="2:10" ht="15" customHeight="1" x14ac:dyDescent="0.25">
      <c r="B180" s="577" t="s">
        <v>95</v>
      </c>
      <c r="C180" s="268">
        <v>14400</v>
      </c>
      <c r="D180" s="89">
        <v>502045</v>
      </c>
      <c r="E180" s="89"/>
      <c r="F180" s="89"/>
      <c r="G180" s="89"/>
      <c r="H180" s="261">
        <v>5000</v>
      </c>
      <c r="I180" s="89"/>
      <c r="J180" s="261">
        <f>+C180+D180+E180+F180+G180+H180+I180</f>
        <v>521445</v>
      </c>
    </row>
    <row r="181" spans="2:10" ht="15" customHeight="1" x14ac:dyDescent="0.25">
      <c r="B181" s="577" t="s">
        <v>96</v>
      </c>
      <c r="C181" s="268">
        <v>14200</v>
      </c>
      <c r="D181" s="89">
        <v>272850</v>
      </c>
      <c r="E181" s="89"/>
      <c r="F181" s="89"/>
      <c r="G181" s="89"/>
      <c r="H181" s="261"/>
      <c r="I181" s="89"/>
      <c r="J181" s="261">
        <f>+C181+D181+E181+F181+G181+H181+I181</f>
        <v>287050</v>
      </c>
    </row>
    <row r="182" spans="2:10" ht="15" customHeight="1" x14ac:dyDescent="0.25">
      <c r="B182" s="577" t="s">
        <v>97</v>
      </c>
      <c r="C182" s="268">
        <v>21950</v>
      </c>
      <c r="D182" s="89">
        <v>361033</v>
      </c>
      <c r="E182" s="89"/>
      <c r="F182" s="89"/>
      <c r="G182" s="89"/>
      <c r="H182" s="261"/>
      <c r="I182" s="89"/>
      <c r="J182" s="261">
        <f>+C182+D182+E182+F182+G182+H182+I182</f>
        <v>382983</v>
      </c>
    </row>
    <row r="183" spans="2:10" ht="15" customHeight="1" x14ac:dyDescent="0.25">
      <c r="B183" s="570" t="s">
        <v>141</v>
      </c>
      <c r="C183" s="269">
        <f t="shared" ref="C183:J183" si="29">SUM(C180:C182)</f>
        <v>50550</v>
      </c>
      <c r="D183" s="86">
        <f t="shared" si="29"/>
        <v>1135928</v>
      </c>
      <c r="E183" s="86">
        <f t="shared" si="29"/>
        <v>0</v>
      </c>
      <c r="F183" s="86">
        <f t="shared" si="29"/>
        <v>0</v>
      </c>
      <c r="G183" s="86">
        <f t="shared" si="29"/>
        <v>0</v>
      </c>
      <c r="H183" s="86">
        <f t="shared" si="29"/>
        <v>5000</v>
      </c>
      <c r="I183" s="86">
        <f t="shared" si="29"/>
        <v>0</v>
      </c>
      <c r="J183" s="86">
        <f t="shared" si="29"/>
        <v>1191478</v>
      </c>
    </row>
    <row r="184" spans="2:10" ht="15" customHeight="1" thickBot="1" x14ac:dyDescent="0.3">
      <c r="B184" s="593"/>
      <c r="C184" s="266"/>
      <c r="D184" s="87"/>
      <c r="E184" s="87"/>
      <c r="F184" s="87"/>
      <c r="G184" s="87"/>
      <c r="H184" s="327"/>
      <c r="I184" s="87"/>
      <c r="J184" s="327"/>
    </row>
    <row r="185" spans="2:10" ht="15" customHeight="1" x14ac:dyDescent="0.25">
      <c r="B185" s="14" t="s">
        <v>219</v>
      </c>
    </row>
    <row r="187" spans="2:10" ht="15" customHeight="1" x14ac:dyDescent="0.25">
      <c r="B187" s="864" t="s">
        <v>190</v>
      </c>
      <c r="C187" s="864"/>
      <c r="D187" s="864"/>
      <c r="E187" s="864"/>
      <c r="F187" s="864"/>
      <c r="G187" s="864"/>
      <c r="H187" s="864"/>
      <c r="I187" s="864"/>
      <c r="J187" s="864"/>
    </row>
    <row r="188" spans="2:10" ht="15" customHeight="1" x14ac:dyDescent="0.25">
      <c r="B188" s="864" t="s">
        <v>137</v>
      </c>
      <c r="C188" s="864"/>
      <c r="D188" s="864"/>
      <c r="E188" s="864"/>
      <c r="F188" s="864"/>
      <c r="G188" s="864"/>
      <c r="H188" s="864"/>
      <c r="I188" s="864"/>
      <c r="J188" s="864"/>
    </row>
    <row r="189" spans="2:10" ht="15" customHeight="1" x14ac:dyDescent="0.25">
      <c r="B189" s="864">
        <v>2015</v>
      </c>
      <c r="C189" s="864"/>
      <c r="D189" s="864"/>
      <c r="E189" s="864"/>
      <c r="F189" s="864"/>
      <c r="G189" s="864"/>
      <c r="H189" s="864"/>
      <c r="I189" s="864"/>
      <c r="J189" s="864"/>
    </row>
    <row r="190" spans="2:10" ht="15" customHeight="1" thickBot="1" x14ac:dyDescent="0.3">
      <c r="B190" s="929" t="s">
        <v>135</v>
      </c>
      <c r="C190" s="929"/>
      <c r="D190" s="929"/>
      <c r="E190" s="929"/>
      <c r="F190" s="929"/>
      <c r="G190" s="929"/>
      <c r="H190" s="929"/>
      <c r="I190" s="929"/>
      <c r="J190" s="929"/>
    </row>
    <row r="191" spans="2:10" ht="15" customHeight="1" thickBot="1" x14ac:dyDescent="0.3">
      <c r="B191" s="594" t="s">
        <v>100</v>
      </c>
      <c r="C191" s="595" t="s">
        <v>52</v>
      </c>
      <c r="D191" s="595" t="s">
        <v>123</v>
      </c>
      <c r="E191" s="595" t="s">
        <v>181</v>
      </c>
      <c r="F191" s="595" t="s">
        <v>131</v>
      </c>
      <c r="G191" s="595" t="s">
        <v>232</v>
      </c>
      <c r="H191" s="595" t="s">
        <v>233</v>
      </c>
      <c r="I191" s="595" t="s">
        <v>84</v>
      </c>
      <c r="J191" s="595" t="s">
        <v>78</v>
      </c>
    </row>
    <row r="192" spans="2:10" ht="15" customHeight="1" x14ac:dyDescent="0.25">
      <c r="B192" s="574"/>
      <c r="C192" s="264"/>
      <c r="D192" s="85"/>
      <c r="E192" s="305"/>
      <c r="F192" s="305"/>
      <c r="G192" s="305"/>
      <c r="H192" s="257"/>
      <c r="I192" s="305"/>
      <c r="J192" s="257"/>
    </row>
    <row r="193" spans="2:10" ht="15" customHeight="1" x14ac:dyDescent="0.25">
      <c r="B193" s="570" t="s">
        <v>103</v>
      </c>
      <c r="C193" s="265">
        <f t="shared" ref="C193:H193" si="30">+C199+C204+C209+C214</f>
        <v>126100</v>
      </c>
      <c r="D193" s="86">
        <f t="shared" si="30"/>
        <v>6517236</v>
      </c>
      <c r="E193" s="86">
        <f t="shared" si="30"/>
        <v>0</v>
      </c>
      <c r="F193" s="86">
        <f t="shared" si="30"/>
        <v>0</v>
      </c>
      <c r="G193" s="86">
        <f t="shared" si="30"/>
        <v>0</v>
      </c>
      <c r="H193" s="86">
        <f t="shared" si="30"/>
        <v>0</v>
      </c>
      <c r="I193" s="86">
        <f>+I199+I204+I209+I214</f>
        <v>0</v>
      </c>
      <c r="J193" s="86">
        <f>+J199+J204+J209+J214</f>
        <v>6643336</v>
      </c>
    </row>
    <row r="194" spans="2:10" ht="15" customHeight="1" thickBot="1" x14ac:dyDescent="0.3">
      <c r="B194" s="593"/>
      <c r="C194" s="266"/>
      <c r="D194" s="87"/>
      <c r="E194" s="306"/>
      <c r="F194" s="306"/>
      <c r="G194" s="306"/>
      <c r="H194" s="259"/>
      <c r="I194" s="306"/>
      <c r="J194" s="259"/>
    </row>
    <row r="195" spans="2:10" ht="15" customHeight="1" x14ac:dyDescent="0.25">
      <c r="B195" s="579"/>
      <c r="C195" s="267"/>
      <c r="D195" s="88"/>
      <c r="E195" s="307"/>
      <c r="F195" s="307"/>
      <c r="G195" s="307"/>
      <c r="H195" s="258"/>
      <c r="I195" s="307"/>
      <c r="J195" s="258"/>
    </row>
    <row r="196" spans="2:10" ht="15" customHeight="1" x14ac:dyDescent="0.25">
      <c r="B196" s="577" t="s">
        <v>86</v>
      </c>
      <c r="C196" s="268">
        <v>8350</v>
      </c>
      <c r="D196" s="89">
        <v>435251</v>
      </c>
      <c r="E196" s="89"/>
      <c r="F196" s="89"/>
      <c r="G196" s="89"/>
      <c r="H196" s="261"/>
      <c r="I196" s="89"/>
      <c r="J196" s="261">
        <f>+C196+D196+E196+F196+G196+H196+I196</f>
        <v>443601</v>
      </c>
    </row>
    <row r="197" spans="2:10" ht="15" customHeight="1" x14ac:dyDescent="0.25">
      <c r="B197" s="577" t="s">
        <v>87</v>
      </c>
      <c r="C197" s="268">
        <v>11400</v>
      </c>
      <c r="D197" s="89">
        <v>361414</v>
      </c>
      <c r="E197" s="89"/>
      <c r="F197" s="89"/>
      <c r="G197" s="89"/>
      <c r="H197" s="261"/>
      <c r="I197" s="89"/>
      <c r="J197" s="261">
        <f>+C197+D197+E197+F197+G197+H197+I197</f>
        <v>372814</v>
      </c>
    </row>
    <row r="198" spans="2:10" ht="15" customHeight="1" x14ac:dyDescent="0.25">
      <c r="B198" s="577" t="s">
        <v>88</v>
      </c>
      <c r="C198" s="268">
        <v>8800</v>
      </c>
      <c r="D198" s="89">
        <v>266234</v>
      </c>
      <c r="E198" s="89"/>
      <c r="F198" s="89"/>
      <c r="G198" s="89"/>
      <c r="H198" s="261"/>
      <c r="I198" s="89"/>
      <c r="J198" s="261">
        <f>+C198+D198+E198+F198+G198+H198+I198</f>
        <v>275034</v>
      </c>
    </row>
    <row r="199" spans="2:10" ht="15" customHeight="1" x14ac:dyDescent="0.25">
      <c r="B199" s="570" t="s">
        <v>138</v>
      </c>
      <c r="C199" s="269">
        <f t="shared" ref="C199:J199" si="31">SUM(C196:C198)</f>
        <v>28550</v>
      </c>
      <c r="D199" s="86">
        <f t="shared" si="31"/>
        <v>1062899</v>
      </c>
      <c r="E199" s="86">
        <f t="shared" si="31"/>
        <v>0</v>
      </c>
      <c r="F199" s="86">
        <f t="shared" si="31"/>
        <v>0</v>
      </c>
      <c r="G199" s="86">
        <f t="shared" si="31"/>
        <v>0</v>
      </c>
      <c r="H199" s="86">
        <f t="shared" si="31"/>
        <v>0</v>
      </c>
      <c r="I199" s="86">
        <f t="shared" si="31"/>
        <v>0</v>
      </c>
      <c r="J199" s="86">
        <f t="shared" si="31"/>
        <v>1091449</v>
      </c>
    </row>
    <row r="200" spans="2:10" ht="15" customHeight="1" x14ac:dyDescent="0.25">
      <c r="B200" s="577"/>
      <c r="C200" s="268"/>
      <c r="D200" s="89"/>
      <c r="E200" s="89"/>
      <c r="F200" s="89"/>
      <c r="G200" s="89"/>
      <c r="H200" s="260"/>
      <c r="I200" s="89"/>
      <c r="J200" s="260"/>
    </row>
    <row r="201" spans="2:10" ht="15" customHeight="1" x14ac:dyDescent="0.25">
      <c r="B201" s="577" t="s">
        <v>89</v>
      </c>
      <c r="C201" s="268">
        <v>7200</v>
      </c>
      <c r="D201" s="89">
        <v>806936</v>
      </c>
      <c r="E201" s="89"/>
      <c r="F201" s="89"/>
      <c r="G201" s="89"/>
      <c r="H201" s="261"/>
      <c r="I201" s="89">
        <v>0</v>
      </c>
      <c r="J201" s="261">
        <f>+C201+D201+E201+F201+G201+H201+I201</f>
        <v>814136</v>
      </c>
    </row>
    <row r="202" spans="2:10" ht="15" customHeight="1" x14ac:dyDescent="0.25">
      <c r="B202" s="577" t="s">
        <v>90</v>
      </c>
      <c r="C202" s="268">
        <v>7900</v>
      </c>
      <c r="D202" s="89">
        <v>925444</v>
      </c>
      <c r="E202" s="89"/>
      <c r="F202" s="89"/>
      <c r="G202" s="89"/>
      <c r="H202" s="261"/>
      <c r="I202" s="89"/>
      <c r="J202" s="261">
        <f>+C202+D202+E202+F202+G202+H202+I202</f>
        <v>933344</v>
      </c>
    </row>
    <row r="203" spans="2:10" ht="15" customHeight="1" x14ac:dyDescent="0.25">
      <c r="B203" s="577" t="s">
        <v>91</v>
      </c>
      <c r="C203" s="268">
        <v>13000</v>
      </c>
      <c r="D203" s="89">
        <v>371588</v>
      </c>
      <c r="E203" s="89"/>
      <c r="F203" s="89"/>
      <c r="G203" s="89"/>
      <c r="H203" s="261"/>
      <c r="I203" s="89"/>
      <c r="J203" s="261">
        <f>+C203+D203+E203+F203+G203+H203+I203</f>
        <v>384588</v>
      </c>
    </row>
    <row r="204" spans="2:10" ht="15" customHeight="1" x14ac:dyDescent="0.25">
      <c r="B204" s="570" t="s">
        <v>139</v>
      </c>
      <c r="C204" s="269">
        <f t="shared" ref="C204:J204" si="32">SUM(C201:C203)</f>
        <v>28100</v>
      </c>
      <c r="D204" s="86">
        <f t="shared" si="32"/>
        <v>2103968</v>
      </c>
      <c r="E204" s="86">
        <f t="shared" si="32"/>
        <v>0</v>
      </c>
      <c r="F204" s="86">
        <f t="shared" si="32"/>
        <v>0</v>
      </c>
      <c r="G204" s="86">
        <f t="shared" si="32"/>
        <v>0</v>
      </c>
      <c r="H204" s="86">
        <f t="shared" si="32"/>
        <v>0</v>
      </c>
      <c r="I204" s="86">
        <f t="shared" si="32"/>
        <v>0</v>
      </c>
      <c r="J204" s="86">
        <f t="shared" si="32"/>
        <v>2132068</v>
      </c>
    </row>
    <row r="205" spans="2:10" ht="15" customHeight="1" x14ac:dyDescent="0.25">
      <c r="B205" s="577"/>
      <c r="C205" s="268"/>
      <c r="D205" s="89"/>
      <c r="E205" s="89"/>
      <c r="F205" s="89"/>
      <c r="G205" s="89"/>
      <c r="H205" s="260"/>
      <c r="I205" s="89"/>
      <c r="J205" s="260"/>
    </row>
    <row r="206" spans="2:10" ht="15" customHeight="1" x14ac:dyDescent="0.25">
      <c r="B206" s="577" t="s">
        <v>93</v>
      </c>
      <c r="C206" s="268">
        <v>14450</v>
      </c>
      <c r="D206" s="89">
        <v>562525</v>
      </c>
      <c r="E206" s="89"/>
      <c r="F206" s="89"/>
      <c r="G206" s="89"/>
      <c r="H206" s="261"/>
      <c r="I206" s="89"/>
      <c r="J206" s="261">
        <f>+C206+D206+E206+F206+G206+H206+I206</f>
        <v>576975</v>
      </c>
    </row>
    <row r="207" spans="2:10" ht="15" customHeight="1" x14ac:dyDescent="0.25">
      <c r="B207" s="577" t="s">
        <v>94</v>
      </c>
      <c r="C207" s="268">
        <v>9500</v>
      </c>
      <c r="D207" s="89">
        <v>377109</v>
      </c>
      <c r="E207" s="89"/>
      <c r="F207" s="89"/>
      <c r="G207" s="89"/>
      <c r="H207" s="261"/>
      <c r="I207" s="89"/>
      <c r="J207" s="261">
        <f>+C207+D207+E207+F207+G207+H207+I207</f>
        <v>386609</v>
      </c>
    </row>
    <row r="208" spans="2:10" ht="15" customHeight="1" x14ac:dyDescent="0.25">
      <c r="B208" s="577" t="s">
        <v>101</v>
      </c>
      <c r="C208" s="268">
        <v>7600</v>
      </c>
      <c r="D208" s="89">
        <v>566836</v>
      </c>
      <c r="E208" s="89"/>
      <c r="F208" s="89"/>
      <c r="G208" s="89"/>
      <c r="H208" s="261"/>
      <c r="I208" s="89"/>
      <c r="J208" s="261">
        <f>+C208+D208+E208+F208+G208+H208+I208</f>
        <v>574436</v>
      </c>
    </row>
    <row r="209" spans="2:10" ht="15" customHeight="1" x14ac:dyDescent="0.25">
      <c r="B209" s="570" t="s">
        <v>140</v>
      </c>
      <c r="C209" s="269">
        <f t="shared" ref="C209:J209" si="33">SUM(C206:C208)</f>
        <v>31550</v>
      </c>
      <c r="D209" s="86">
        <f t="shared" si="33"/>
        <v>1506470</v>
      </c>
      <c r="E209" s="86">
        <f t="shared" si="33"/>
        <v>0</v>
      </c>
      <c r="F209" s="86">
        <f t="shared" si="33"/>
        <v>0</v>
      </c>
      <c r="G209" s="86">
        <f t="shared" si="33"/>
        <v>0</v>
      </c>
      <c r="H209" s="86">
        <f t="shared" si="33"/>
        <v>0</v>
      </c>
      <c r="I209" s="86">
        <f t="shared" si="33"/>
        <v>0</v>
      </c>
      <c r="J209" s="86">
        <f t="shared" si="33"/>
        <v>1538020</v>
      </c>
    </row>
    <row r="210" spans="2:10" ht="15" customHeight="1" x14ac:dyDescent="0.25">
      <c r="B210" s="577"/>
      <c r="C210" s="268"/>
      <c r="D210" s="89"/>
      <c r="E210" s="89"/>
      <c r="F210" s="89"/>
      <c r="G210" s="89"/>
      <c r="H210" s="260"/>
      <c r="I210" s="89"/>
      <c r="J210" s="260"/>
    </row>
    <row r="211" spans="2:10" ht="15" customHeight="1" x14ac:dyDescent="0.25">
      <c r="B211" s="577" t="s">
        <v>95</v>
      </c>
      <c r="C211" s="268">
        <v>9600</v>
      </c>
      <c r="D211" s="89">
        <v>836039</v>
      </c>
      <c r="E211" s="89"/>
      <c r="F211" s="89"/>
      <c r="G211" s="89"/>
      <c r="H211" s="261"/>
      <c r="I211" s="89"/>
      <c r="J211" s="261">
        <f>+C211+D211+E211+F211+G211+H211+I211</f>
        <v>845639</v>
      </c>
    </row>
    <row r="212" spans="2:10" ht="15" customHeight="1" x14ac:dyDescent="0.25">
      <c r="B212" s="577" t="s">
        <v>96</v>
      </c>
      <c r="C212" s="268">
        <v>12200</v>
      </c>
      <c r="D212" s="89">
        <v>403864</v>
      </c>
      <c r="E212" s="89"/>
      <c r="F212" s="89"/>
      <c r="G212" s="89"/>
      <c r="H212" s="261"/>
      <c r="I212" s="89"/>
      <c r="J212" s="261">
        <f>+C212+D212+E212+F212+G212+H212+I212</f>
        <v>416064</v>
      </c>
    </row>
    <row r="213" spans="2:10" ht="15" customHeight="1" x14ac:dyDescent="0.25">
      <c r="B213" s="577" t="s">
        <v>97</v>
      </c>
      <c r="C213" s="268">
        <v>16100</v>
      </c>
      <c r="D213" s="89">
        <v>603996</v>
      </c>
      <c r="E213" s="89"/>
      <c r="F213" s="89"/>
      <c r="G213" s="89"/>
      <c r="H213" s="261"/>
      <c r="I213" s="89"/>
      <c r="J213" s="261">
        <f>+C213+D213+E213+F213+G213+H213+I213</f>
        <v>620096</v>
      </c>
    </row>
    <row r="214" spans="2:10" ht="15" customHeight="1" x14ac:dyDescent="0.25">
      <c r="B214" s="570" t="s">
        <v>141</v>
      </c>
      <c r="C214" s="269">
        <f t="shared" ref="C214:J214" si="34">SUM(C211:C213)</f>
        <v>37900</v>
      </c>
      <c r="D214" s="86">
        <f t="shared" si="34"/>
        <v>1843899</v>
      </c>
      <c r="E214" s="86">
        <f t="shared" si="34"/>
        <v>0</v>
      </c>
      <c r="F214" s="86">
        <f t="shared" si="34"/>
        <v>0</v>
      </c>
      <c r="G214" s="86">
        <f t="shared" si="34"/>
        <v>0</v>
      </c>
      <c r="H214" s="86">
        <f t="shared" si="34"/>
        <v>0</v>
      </c>
      <c r="I214" s="86">
        <f t="shared" si="34"/>
        <v>0</v>
      </c>
      <c r="J214" s="86">
        <f t="shared" si="34"/>
        <v>1881799</v>
      </c>
    </row>
    <row r="215" spans="2:10" ht="15" customHeight="1" thickBot="1" x14ac:dyDescent="0.3">
      <c r="B215" s="593"/>
      <c r="C215" s="266"/>
      <c r="D215" s="87"/>
      <c r="E215" s="87"/>
      <c r="F215" s="87"/>
      <c r="G215" s="87"/>
      <c r="H215" s="327"/>
      <c r="I215" s="87"/>
      <c r="J215" s="327"/>
    </row>
    <row r="216" spans="2:10" ht="15" customHeight="1" x14ac:dyDescent="0.25">
      <c r="B216" s="14" t="s">
        <v>219</v>
      </c>
    </row>
    <row r="218" spans="2:10" ht="15" customHeight="1" x14ac:dyDescent="0.25">
      <c r="B218" s="864" t="s">
        <v>190</v>
      </c>
      <c r="C218" s="864"/>
      <c r="D218" s="864"/>
      <c r="E218" s="864"/>
      <c r="F218" s="864"/>
      <c r="G218" s="864"/>
      <c r="H218" s="864"/>
      <c r="I218" s="864"/>
      <c r="J218" s="864"/>
    </row>
    <row r="219" spans="2:10" ht="15" customHeight="1" x14ac:dyDescent="0.25">
      <c r="B219" s="864" t="s">
        <v>137</v>
      </c>
      <c r="C219" s="864"/>
      <c r="D219" s="864"/>
      <c r="E219" s="864"/>
      <c r="F219" s="864"/>
      <c r="G219" s="864"/>
      <c r="H219" s="864"/>
      <c r="I219" s="864"/>
      <c r="J219" s="864"/>
    </row>
    <row r="220" spans="2:10" ht="15" customHeight="1" x14ac:dyDescent="0.25">
      <c r="B220" s="864">
        <v>2014</v>
      </c>
      <c r="C220" s="864"/>
      <c r="D220" s="864"/>
      <c r="E220" s="864"/>
      <c r="F220" s="864"/>
      <c r="G220" s="864"/>
      <c r="H220" s="864"/>
      <c r="I220" s="864"/>
      <c r="J220" s="864"/>
    </row>
    <row r="221" spans="2:10" ht="15" customHeight="1" thickBot="1" x14ac:dyDescent="0.3">
      <c r="B221" s="929" t="s">
        <v>135</v>
      </c>
      <c r="C221" s="929"/>
      <c r="D221" s="929"/>
      <c r="E221" s="929"/>
      <c r="F221" s="929"/>
      <c r="G221" s="929"/>
      <c r="H221" s="929"/>
      <c r="I221" s="929"/>
      <c r="J221" s="929"/>
    </row>
    <row r="222" spans="2:10" ht="15" customHeight="1" thickBot="1" x14ac:dyDescent="0.3">
      <c r="B222" s="594" t="s">
        <v>100</v>
      </c>
      <c r="C222" s="595" t="s">
        <v>52</v>
      </c>
      <c r="D222" s="595" t="s">
        <v>123</v>
      </c>
      <c r="E222" s="595" t="s">
        <v>181</v>
      </c>
      <c r="F222" s="595" t="s">
        <v>131</v>
      </c>
      <c r="G222" s="595" t="s">
        <v>232</v>
      </c>
      <c r="H222" s="595" t="s">
        <v>233</v>
      </c>
      <c r="I222" s="595" t="s">
        <v>84</v>
      </c>
      <c r="J222" s="595" t="s">
        <v>78</v>
      </c>
    </row>
    <row r="223" spans="2:10" ht="15" customHeight="1" x14ac:dyDescent="0.25">
      <c r="B223" s="574"/>
      <c r="C223" s="264"/>
      <c r="D223" s="85"/>
      <c r="E223" s="305"/>
      <c r="F223" s="305"/>
      <c r="G223" s="305"/>
      <c r="H223" s="257"/>
      <c r="I223" s="305"/>
      <c r="J223" s="257"/>
    </row>
    <row r="224" spans="2:10" ht="15" customHeight="1" x14ac:dyDescent="0.25">
      <c r="B224" s="570" t="s">
        <v>103</v>
      </c>
      <c r="C224" s="265">
        <f t="shared" ref="C224:H224" si="35">+C230+C235+C240+C245</f>
        <v>101450</v>
      </c>
      <c r="D224" s="86">
        <f t="shared" si="35"/>
        <v>5832450</v>
      </c>
      <c r="E224" s="86">
        <f t="shared" si="35"/>
        <v>0</v>
      </c>
      <c r="F224" s="86">
        <f t="shared" si="35"/>
        <v>0</v>
      </c>
      <c r="G224" s="86">
        <f t="shared" si="35"/>
        <v>0</v>
      </c>
      <c r="H224" s="86">
        <f t="shared" si="35"/>
        <v>4500</v>
      </c>
      <c r="I224" s="86">
        <f>+I230+I235+I240+I245</f>
        <v>13127</v>
      </c>
      <c r="J224" s="86">
        <f>+J230+J235+J240+J245</f>
        <v>5951527</v>
      </c>
    </row>
    <row r="225" spans="2:10" ht="15" customHeight="1" thickBot="1" x14ac:dyDescent="0.3">
      <c r="B225" s="593"/>
      <c r="C225" s="266"/>
      <c r="D225" s="87"/>
      <c r="E225" s="306"/>
      <c r="F225" s="306"/>
      <c r="G225" s="306"/>
      <c r="H225" s="259"/>
      <c r="I225" s="306"/>
      <c r="J225" s="259"/>
    </row>
    <row r="226" spans="2:10" ht="15" customHeight="1" x14ac:dyDescent="0.25">
      <c r="B226" s="579"/>
      <c r="C226" s="267"/>
      <c r="D226" s="88"/>
      <c r="E226" s="307"/>
      <c r="F226" s="307"/>
      <c r="G226" s="307"/>
      <c r="H226" s="258"/>
      <c r="I226" s="307"/>
      <c r="J226" s="258"/>
    </row>
    <row r="227" spans="2:10" ht="15" customHeight="1" x14ac:dyDescent="0.25">
      <c r="B227" s="577" t="s">
        <v>86</v>
      </c>
      <c r="C227" s="268">
        <v>10300</v>
      </c>
      <c r="D227" s="89">
        <v>421564</v>
      </c>
      <c r="E227" s="89"/>
      <c r="F227" s="89"/>
      <c r="G227" s="89"/>
      <c r="H227" s="261"/>
      <c r="I227" s="89">
        <v>4124</v>
      </c>
      <c r="J227" s="261">
        <f>+C227+D227+E227+F227+G227+H227+I227</f>
        <v>435988</v>
      </c>
    </row>
    <row r="228" spans="2:10" ht="15" customHeight="1" x14ac:dyDescent="0.25">
      <c r="B228" s="577" t="s">
        <v>87</v>
      </c>
      <c r="C228" s="268">
        <v>12000</v>
      </c>
      <c r="D228" s="89">
        <v>170548</v>
      </c>
      <c r="E228" s="89"/>
      <c r="F228" s="89"/>
      <c r="G228" s="89"/>
      <c r="H228" s="261"/>
      <c r="I228" s="89">
        <v>0</v>
      </c>
      <c r="J228" s="261">
        <f>+C228+D228+E228+F228+G228+H228+I228</f>
        <v>182548</v>
      </c>
    </row>
    <row r="229" spans="2:10" ht="15" customHeight="1" x14ac:dyDescent="0.25">
      <c r="B229" s="577" t="s">
        <v>88</v>
      </c>
      <c r="C229" s="268">
        <v>8400</v>
      </c>
      <c r="D229" s="89">
        <v>382152</v>
      </c>
      <c r="E229" s="89"/>
      <c r="F229" s="89"/>
      <c r="G229" s="89"/>
      <c r="H229" s="261"/>
      <c r="I229" s="89">
        <v>849</v>
      </c>
      <c r="J229" s="261">
        <f>+C229+D229+E229+F229+G229+H229+I229</f>
        <v>391401</v>
      </c>
    </row>
    <row r="230" spans="2:10" ht="15" customHeight="1" x14ac:dyDescent="0.25">
      <c r="B230" s="570" t="s">
        <v>138</v>
      </c>
      <c r="C230" s="269">
        <f t="shared" ref="C230:J230" si="36">SUM(C227:C229)</f>
        <v>30700</v>
      </c>
      <c r="D230" s="86">
        <f t="shared" si="36"/>
        <v>974264</v>
      </c>
      <c r="E230" s="86">
        <f t="shared" si="36"/>
        <v>0</v>
      </c>
      <c r="F230" s="86">
        <f t="shared" si="36"/>
        <v>0</v>
      </c>
      <c r="G230" s="86">
        <f t="shared" si="36"/>
        <v>0</v>
      </c>
      <c r="H230" s="86">
        <f t="shared" si="36"/>
        <v>0</v>
      </c>
      <c r="I230" s="86">
        <f t="shared" si="36"/>
        <v>4973</v>
      </c>
      <c r="J230" s="86">
        <f t="shared" si="36"/>
        <v>1009937</v>
      </c>
    </row>
    <row r="231" spans="2:10" ht="15" customHeight="1" x14ac:dyDescent="0.25">
      <c r="B231" s="577"/>
      <c r="C231" s="268"/>
      <c r="D231" s="89"/>
      <c r="E231" s="89"/>
      <c r="F231" s="89"/>
      <c r="G231" s="89"/>
      <c r="H231" s="260"/>
      <c r="I231" s="89"/>
      <c r="J231" s="260"/>
    </row>
    <row r="232" spans="2:10" ht="15" customHeight="1" x14ac:dyDescent="0.25">
      <c r="B232" s="577" t="s">
        <v>89</v>
      </c>
      <c r="C232" s="268">
        <v>11150</v>
      </c>
      <c r="D232" s="89">
        <v>487740</v>
      </c>
      <c r="E232" s="89"/>
      <c r="F232" s="89"/>
      <c r="G232" s="89"/>
      <c r="H232" s="261"/>
      <c r="I232" s="89">
        <v>0</v>
      </c>
      <c r="J232" s="261">
        <f>+C232+D232+E232+F232+G232+H232+I232</f>
        <v>498890</v>
      </c>
    </row>
    <row r="233" spans="2:10" ht="15" customHeight="1" x14ac:dyDescent="0.25">
      <c r="B233" s="577" t="s">
        <v>90</v>
      </c>
      <c r="C233" s="268">
        <v>11850</v>
      </c>
      <c r="D233" s="89">
        <v>635015</v>
      </c>
      <c r="E233" s="89"/>
      <c r="F233" s="89"/>
      <c r="G233" s="89"/>
      <c r="H233" s="261"/>
      <c r="I233" s="89">
        <v>2177</v>
      </c>
      <c r="J233" s="261">
        <f>+C233+D233+E233+F233+G233+H233+I233</f>
        <v>649042</v>
      </c>
    </row>
    <row r="234" spans="2:10" ht="15" customHeight="1" x14ac:dyDescent="0.25">
      <c r="B234" s="577" t="s">
        <v>91</v>
      </c>
      <c r="C234" s="268">
        <v>4850</v>
      </c>
      <c r="D234" s="89">
        <v>679824</v>
      </c>
      <c r="E234" s="89"/>
      <c r="F234" s="89"/>
      <c r="G234" s="89"/>
      <c r="H234" s="261"/>
      <c r="I234" s="89">
        <v>3181</v>
      </c>
      <c r="J234" s="261">
        <f>+C234+D234+E234+F234+G234+H234+I234</f>
        <v>687855</v>
      </c>
    </row>
    <row r="235" spans="2:10" ht="15" customHeight="1" x14ac:dyDescent="0.25">
      <c r="B235" s="570" t="s">
        <v>139</v>
      </c>
      <c r="C235" s="269">
        <f t="shared" ref="C235:J235" si="37">SUM(C232:C234)</f>
        <v>27850</v>
      </c>
      <c r="D235" s="86">
        <f t="shared" si="37"/>
        <v>1802579</v>
      </c>
      <c r="E235" s="86">
        <f t="shared" si="37"/>
        <v>0</v>
      </c>
      <c r="F235" s="86">
        <f t="shared" si="37"/>
        <v>0</v>
      </c>
      <c r="G235" s="86">
        <f t="shared" si="37"/>
        <v>0</v>
      </c>
      <c r="H235" s="86">
        <f t="shared" si="37"/>
        <v>0</v>
      </c>
      <c r="I235" s="86">
        <f t="shared" si="37"/>
        <v>5358</v>
      </c>
      <c r="J235" s="86">
        <f t="shared" si="37"/>
        <v>1835787</v>
      </c>
    </row>
    <row r="236" spans="2:10" ht="15" customHeight="1" x14ac:dyDescent="0.25">
      <c r="B236" s="577"/>
      <c r="C236" s="268"/>
      <c r="D236" s="89"/>
      <c r="E236" s="89"/>
      <c r="F236" s="89"/>
      <c r="G236" s="89"/>
      <c r="H236" s="260"/>
      <c r="I236" s="89"/>
      <c r="J236" s="260"/>
    </row>
    <row r="237" spans="2:10" ht="15" customHeight="1" x14ac:dyDescent="0.25">
      <c r="B237" s="577" t="s">
        <v>93</v>
      </c>
      <c r="C237" s="268">
        <v>8100</v>
      </c>
      <c r="D237" s="89">
        <v>539977</v>
      </c>
      <c r="E237" s="89"/>
      <c r="F237" s="89"/>
      <c r="G237" s="89"/>
      <c r="H237" s="261"/>
      <c r="I237" s="89">
        <v>1638</v>
      </c>
      <c r="J237" s="261">
        <f>+C237+D237+E237+F237+G237+H237+I237</f>
        <v>549715</v>
      </c>
    </row>
    <row r="238" spans="2:10" ht="15" customHeight="1" x14ac:dyDescent="0.25">
      <c r="B238" s="577" t="s">
        <v>94</v>
      </c>
      <c r="C238" s="268">
        <v>9500</v>
      </c>
      <c r="D238" s="89">
        <v>490495</v>
      </c>
      <c r="E238" s="89"/>
      <c r="F238" s="89"/>
      <c r="G238" s="89"/>
      <c r="H238" s="261">
        <v>4500</v>
      </c>
      <c r="I238" s="89">
        <v>1158</v>
      </c>
      <c r="J238" s="261">
        <f>+C238+D238+E238+F238+G238+H238+I238</f>
        <v>505653</v>
      </c>
    </row>
    <row r="239" spans="2:10" ht="15" customHeight="1" x14ac:dyDescent="0.25">
      <c r="B239" s="577" t="s">
        <v>101</v>
      </c>
      <c r="C239" s="268">
        <v>3700</v>
      </c>
      <c r="D239" s="89">
        <v>375933</v>
      </c>
      <c r="E239" s="89"/>
      <c r="F239" s="89"/>
      <c r="G239" s="89"/>
      <c r="H239" s="261"/>
      <c r="I239" s="89">
        <v>0</v>
      </c>
      <c r="J239" s="261">
        <f>+C239+D239+E239+F239+G239+H239+I239</f>
        <v>379633</v>
      </c>
    </row>
    <row r="240" spans="2:10" ht="15" customHeight="1" x14ac:dyDescent="0.25">
      <c r="B240" s="570" t="s">
        <v>140</v>
      </c>
      <c r="C240" s="269">
        <f t="shared" ref="C240:J240" si="38">SUM(C237:C239)</f>
        <v>21300</v>
      </c>
      <c r="D240" s="86">
        <f t="shared" si="38"/>
        <v>1406405</v>
      </c>
      <c r="E240" s="86">
        <f t="shared" si="38"/>
        <v>0</v>
      </c>
      <c r="F240" s="86">
        <f t="shared" si="38"/>
        <v>0</v>
      </c>
      <c r="G240" s="86">
        <f t="shared" si="38"/>
        <v>0</v>
      </c>
      <c r="H240" s="86">
        <f t="shared" si="38"/>
        <v>4500</v>
      </c>
      <c r="I240" s="86">
        <f t="shared" si="38"/>
        <v>2796</v>
      </c>
      <c r="J240" s="86">
        <f t="shared" si="38"/>
        <v>1435001</v>
      </c>
    </row>
    <row r="241" spans="2:10" ht="15" customHeight="1" x14ac:dyDescent="0.25">
      <c r="B241" s="577"/>
      <c r="C241" s="268"/>
      <c r="D241" s="89"/>
      <c r="E241" s="89"/>
      <c r="F241" s="89"/>
      <c r="G241" s="89"/>
      <c r="H241" s="260"/>
      <c r="I241" s="89"/>
      <c r="J241" s="260"/>
    </row>
    <row r="242" spans="2:10" ht="15" customHeight="1" x14ac:dyDescent="0.25">
      <c r="B242" s="577" t="s">
        <v>95</v>
      </c>
      <c r="C242" s="268">
        <v>5500</v>
      </c>
      <c r="D242" s="89">
        <v>669205</v>
      </c>
      <c r="E242" s="89"/>
      <c r="F242" s="89"/>
      <c r="G242" s="89"/>
      <c r="H242" s="261"/>
      <c r="I242" s="89">
        <v>0</v>
      </c>
      <c r="J242" s="261">
        <f>+C242+D242+E242+F242+G242+H242+I242</f>
        <v>674705</v>
      </c>
    </row>
    <row r="243" spans="2:10" ht="15" customHeight="1" x14ac:dyDescent="0.25">
      <c r="B243" s="577" t="s">
        <v>96</v>
      </c>
      <c r="C243" s="268">
        <v>6800</v>
      </c>
      <c r="D243" s="89">
        <v>456037</v>
      </c>
      <c r="E243" s="89"/>
      <c r="F243" s="89"/>
      <c r="G243" s="89"/>
      <c r="H243" s="261"/>
      <c r="I243" s="89">
        <v>0</v>
      </c>
      <c r="J243" s="261">
        <f>+C243+D243+E243+F243+G243+H243+I243</f>
        <v>462837</v>
      </c>
    </row>
    <row r="244" spans="2:10" ht="15" customHeight="1" x14ac:dyDescent="0.25">
      <c r="B244" s="577" t="s">
        <v>97</v>
      </c>
      <c r="C244" s="268">
        <v>9300</v>
      </c>
      <c r="D244" s="89">
        <v>523960</v>
      </c>
      <c r="E244" s="89"/>
      <c r="F244" s="89"/>
      <c r="G244" s="89"/>
      <c r="H244" s="261"/>
      <c r="I244" s="89">
        <v>0</v>
      </c>
      <c r="J244" s="261">
        <f>+C244+D244+E244+F244+G244+H244+I244</f>
        <v>533260</v>
      </c>
    </row>
    <row r="245" spans="2:10" ht="15" customHeight="1" x14ac:dyDescent="0.25">
      <c r="B245" s="570" t="s">
        <v>141</v>
      </c>
      <c r="C245" s="269">
        <f t="shared" ref="C245:J245" si="39">SUM(C242:C244)</f>
        <v>21600</v>
      </c>
      <c r="D245" s="86">
        <f t="shared" si="39"/>
        <v>1649202</v>
      </c>
      <c r="E245" s="86">
        <f t="shared" si="39"/>
        <v>0</v>
      </c>
      <c r="F245" s="86">
        <f t="shared" si="39"/>
        <v>0</v>
      </c>
      <c r="G245" s="86">
        <f t="shared" si="39"/>
        <v>0</v>
      </c>
      <c r="H245" s="86">
        <f t="shared" si="39"/>
        <v>0</v>
      </c>
      <c r="I245" s="86">
        <f t="shared" si="39"/>
        <v>0</v>
      </c>
      <c r="J245" s="86">
        <f t="shared" si="39"/>
        <v>1670802</v>
      </c>
    </row>
    <row r="246" spans="2:10" ht="15" customHeight="1" thickBot="1" x14ac:dyDescent="0.3">
      <c r="B246" s="593"/>
      <c r="C246" s="266"/>
      <c r="D246" s="87"/>
      <c r="E246" s="87"/>
      <c r="F246" s="87"/>
      <c r="G246" s="87"/>
      <c r="H246" s="327"/>
      <c r="I246" s="87"/>
      <c r="J246" s="327"/>
    </row>
    <row r="247" spans="2:10" ht="15" customHeight="1" x14ac:dyDescent="0.25">
      <c r="B247" s="14" t="s">
        <v>219</v>
      </c>
    </row>
    <row r="249" spans="2:10" ht="15" customHeight="1" x14ac:dyDescent="0.25">
      <c r="B249" s="864" t="s">
        <v>190</v>
      </c>
      <c r="C249" s="864"/>
      <c r="D249" s="864"/>
      <c r="E249" s="864"/>
      <c r="F249" s="864"/>
      <c r="G249" s="864"/>
      <c r="H249" s="864"/>
      <c r="I249" s="864"/>
      <c r="J249" s="864"/>
    </row>
    <row r="250" spans="2:10" ht="15" customHeight="1" x14ac:dyDescent="0.25">
      <c r="B250" s="864" t="s">
        <v>137</v>
      </c>
      <c r="C250" s="864"/>
      <c r="D250" s="864"/>
      <c r="E250" s="864"/>
      <c r="F250" s="864"/>
      <c r="G250" s="864"/>
      <c r="H250" s="864"/>
      <c r="I250" s="864"/>
      <c r="J250" s="864"/>
    </row>
    <row r="251" spans="2:10" ht="15" customHeight="1" x14ac:dyDescent="0.25">
      <c r="B251" s="864">
        <v>2013</v>
      </c>
      <c r="C251" s="864"/>
      <c r="D251" s="864"/>
      <c r="E251" s="864"/>
      <c r="F251" s="864"/>
      <c r="G251" s="864"/>
      <c r="H251" s="864"/>
      <c r="I251" s="864"/>
      <c r="J251" s="864"/>
    </row>
    <row r="252" spans="2:10" ht="15" customHeight="1" thickBot="1" x14ac:dyDescent="0.3">
      <c r="B252" s="929" t="s">
        <v>135</v>
      </c>
      <c r="C252" s="929"/>
      <c r="D252" s="929"/>
      <c r="E252" s="929"/>
      <c r="F252" s="929"/>
      <c r="G252" s="929"/>
      <c r="H252" s="929"/>
      <c r="I252" s="929"/>
      <c r="J252" s="929"/>
    </row>
    <row r="253" spans="2:10" ht="15" customHeight="1" thickBot="1" x14ac:dyDescent="0.3">
      <c r="B253" s="594" t="s">
        <v>100</v>
      </c>
      <c r="C253" s="595" t="s">
        <v>52</v>
      </c>
      <c r="D253" s="595" t="s">
        <v>123</v>
      </c>
      <c r="E253" s="595" t="s">
        <v>181</v>
      </c>
      <c r="F253" s="595" t="s">
        <v>131</v>
      </c>
      <c r="G253" s="595" t="s">
        <v>232</v>
      </c>
      <c r="H253" s="595" t="s">
        <v>233</v>
      </c>
      <c r="I253" s="595" t="s">
        <v>84</v>
      </c>
      <c r="J253" s="595" t="s">
        <v>78</v>
      </c>
    </row>
    <row r="254" spans="2:10" ht="15" customHeight="1" x14ac:dyDescent="0.25">
      <c r="B254" s="574"/>
      <c r="C254" s="264"/>
      <c r="D254" s="85"/>
      <c r="E254" s="305"/>
      <c r="F254" s="305"/>
      <c r="G254" s="305"/>
      <c r="H254" s="257"/>
      <c r="I254" s="305"/>
      <c r="J254" s="257"/>
    </row>
    <row r="255" spans="2:10" ht="15" customHeight="1" x14ac:dyDescent="0.25">
      <c r="B255" s="570" t="s">
        <v>103</v>
      </c>
      <c r="C255" s="265">
        <f t="shared" ref="C255:H255" si="40">+C261+C266+C271+C276</f>
        <v>95500</v>
      </c>
      <c r="D255" s="86">
        <f t="shared" si="40"/>
        <v>4682436</v>
      </c>
      <c r="E255" s="86">
        <f t="shared" si="40"/>
        <v>0</v>
      </c>
      <c r="F255" s="86">
        <f t="shared" si="40"/>
        <v>0</v>
      </c>
      <c r="G255" s="86">
        <f t="shared" si="40"/>
        <v>3500</v>
      </c>
      <c r="H255" s="86">
        <f t="shared" si="40"/>
        <v>6500</v>
      </c>
      <c r="I255" s="86">
        <f>+I261+I266+I271+I276</f>
        <v>22448</v>
      </c>
      <c r="J255" s="86">
        <f>+J261+J266+J271+J276</f>
        <v>4810384</v>
      </c>
    </row>
    <row r="256" spans="2:10" ht="15" customHeight="1" thickBot="1" x14ac:dyDescent="0.3">
      <c r="B256" s="593"/>
      <c r="C256" s="266"/>
      <c r="D256" s="87"/>
      <c r="E256" s="306"/>
      <c r="F256" s="306"/>
      <c r="G256" s="306"/>
      <c r="H256" s="259"/>
      <c r="I256" s="306"/>
      <c r="J256" s="259"/>
    </row>
    <row r="257" spans="2:10" ht="15" customHeight="1" x14ac:dyDescent="0.25">
      <c r="B257" s="579"/>
      <c r="C257" s="267"/>
      <c r="D257" s="88"/>
      <c r="E257" s="307"/>
      <c r="F257" s="307"/>
      <c r="G257" s="307"/>
      <c r="H257" s="258"/>
      <c r="I257" s="307"/>
      <c r="J257" s="258"/>
    </row>
    <row r="258" spans="2:10" ht="15" customHeight="1" x14ac:dyDescent="0.25">
      <c r="B258" s="577" t="s">
        <v>86</v>
      </c>
      <c r="C258" s="268">
        <v>12700</v>
      </c>
      <c r="D258" s="89">
        <v>335482</v>
      </c>
      <c r="E258" s="89"/>
      <c r="F258" s="89"/>
      <c r="G258" s="89">
        <v>3500</v>
      </c>
      <c r="H258" s="261"/>
      <c r="I258" s="89">
        <v>135</v>
      </c>
      <c r="J258" s="261">
        <f>+C258+D258+E258+F258+G258+H258+I258</f>
        <v>351817</v>
      </c>
    </row>
    <row r="259" spans="2:10" ht="15" customHeight="1" x14ac:dyDescent="0.25">
      <c r="B259" s="577" t="s">
        <v>87</v>
      </c>
      <c r="C259" s="268">
        <v>5300</v>
      </c>
      <c r="D259" s="89">
        <v>262557</v>
      </c>
      <c r="E259" s="89"/>
      <c r="F259" s="89"/>
      <c r="G259" s="89"/>
      <c r="H259" s="261"/>
      <c r="I259" s="89">
        <v>2650</v>
      </c>
      <c r="J259" s="261">
        <f>+C259+D259+E259+F259+G259+H259+I259</f>
        <v>270507</v>
      </c>
    </row>
    <row r="260" spans="2:10" ht="15" customHeight="1" x14ac:dyDescent="0.25">
      <c r="B260" s="577" t="s">
        <v>88</v>
      </c>
      <c r="C260" s="268">
        <v>9900</v>
      </c>
      <c r="D260" s="89">
        <v>251260</v>
      </c>
      <c r="E260" s="89"/>
      <c r="F260" s="89"/>
      <c r="G260" s="89"/>
      <c r="H260" s="261"/>
      <c r="I260" s="89">
        <v>4516</v>
      </c>
      <c r="J260" s="261">
        <f>+C260+D260+E260+F260+G260+H260+I260</f>
        <v>265676</v>
      </c>
    </row>
    <row r="261" spans="2:10" ht="15" customHeight="1" x14ac:dyDescent="0.25">
      <c r="B261" s="570" t="s">
        <v>138</v>
      </c>
      <c r="C261" s="269">
        <f t="shared" ref="C261:J261" si="41">SUM(C258:C260)</f>
        <v>27900</v>
      </c>
      <c r="D261" s="86">
        <f t="shared" si="41"/>
        <v>849299</v>
      </c>
      <c r="E261" s="86">
        <f t="shared" si="41"/>
        <v>0</v>
      </c>
      <c r="F261" s="86">
        <f t="shared" si="41"/>
        <v>0</v>
      </c>
      <c r="G261" s="86">
        <f t="shared" si="41"/>
        <v>3500</v>
      </c>
      <c r="H261" s="86">
        <f t="shared" si="41"/>
        <v>0</v>
      </c>
      <c r="I261" s="86">
        <f t="shared" si="41"/>
        <v>7301</v>
      </c>
      <c r="J261" s="86">
        <f t="shared" si="41"/>
        <v>888000</v>
      </c>
    </row>
    <row r="262" spans="2:10" ht="15" customHeight="1" x14ac:dyDescent="0.25">
      <c r="B262" s="577"/>
      <c r="C262" s="268"/>
      <c r="D262" s="89"/>
      <c r="E262" s="89"/>
      <c r="F262" s="89"/>
      <c r="G262" s="89"/>
      <c r="H262" s="260"/>
      <c r="I262" s="89"/>
      <c r="J262" s="260"/>
    </row>
    <row r="263" spans="2:10" ht="15" customHeight="1" x14ac:dyDescent="0.25">
      <c r="B263" s="577" t="s">
        <v>89</v>
      </c>
      <c r="C263" s="268">
        <v>10100</v>
      </c>
      <c r="D263" s="89">
        <v>458253</v>
      </c>
      <c r="E263" s="89"/>
      <c r="F263" s="89"/>
      <c r="G263" s="89"/>
      <c r="H263" s="261">
        <v>6500</v>
      </c>
      <c r="I263" s="89">
        <v>1327.6</v>
      </c>
      <c r="J263" s="261">
        <f>+C263+D263+E263+F263+G263+H263+I263</f>
        <v>476180.6</v>
      </c>
    </row>
    <row r="264" spans="2:10" ht="15" customHeight="1" x14ac:dyDescent="0.25">
      <c r="B264" s="577" t="s">
        <v>90</v>
      </c>
      <c r="C264" s="268">
        <v>7600</v>
      </c>
      <c r="D264" s="89">
        <v>496348</v>
      </c>
      <c r="E264" s="89"/>
      <c r="F264" s="89"/>
      <c r="G264" s="89"/>
      <c r="H264" s="261"/>
      <c r="I264" s="89">
        <v>3115.4</v>
      </c>
      <c r="J264" s="261">
        <f>+C264+D264+E264+F264+G264+H264+I264</f>
        <v>507063.4</v>
      </c>
    </row>
    <row r="265" spans="2:10" ht="15" customHeight="1" x14ac:dyDescent="0.25">
      <c r="B265" s="577" t="s">
        <v>91</v>
      </c>
      <c r="C265" s="268">
        <v>5200</v>
      </c>
      <c r="D265" s="89">
        <v>371120</v>
      </c>
      <c r="E265" s="89"/>
      <c r="F265" s="89"/>
      <c r="G265" s="89"/>
      <c r="H265" s="261"/>
      <c r="I265" s="89">
        <v>2010</v>
      </c>
      <c r="J265" s="261">
        <f>+C265+D265+E265+F265+G265+H265+I265</f>
        <v>378330</v>
      </c>
    </row>
    <row r="266" spans="2:10" ht="15" customHeight="1" x14ac:dyDescent="0.25">
      <c r="B266" s="570" t="s">
        <v>139</v>
      </c>
      <c r="C266" s="269">
        <f t="shared" ref="C266:J266" si="42">SUM(C263:C265)</f>
        <v>22900</v>
      </c>
      <c r="D266" s="86">
        <f t="shared" si="42"/>
        <v>1325721</v>
      </c>
      <c r="E266" s="86">
        <f t="shared" si="42"/>
        <v>0</v>
      </c>
      <c r="F266" s="86">
        <f t="shared" si="42"/>
        <v>0</v>
      </c>
      <c r="G266" s="86">
        <f t="shared" si="42"/>
        <v>0</v>
      </c>
      <c r="H266" s="86">
        <f t="shared" si="42"/>
        <v>6500</v>
      </c>
      <c r="I266" s="86">
        <f t="shared" si="42"/>
        <v>6453</v>
      </c>
      <c r="J266" s="86">
        <f t="shared" si="42"/>
        <v>1361574</v>
      </c>
    </row>
    <row r="267" spans="2:10" ht="15" customHeight="1" x14ac:dyDescent="0.25">
      <c r="B267" s="577"/>
      <c r="C267" s="268"/>
      <c r="D267" s="89"/>
      <c r="E267" s="89"/>
      <c r="F267" s="89"/>
      <c r="G267" s="89"/>
      <c r="H267" s="260"/>
      <c r="I267" s="89"/>
      <c r="J267" s="260"/>
    </row>
    <row r="268" spans="2:10" ht="15" customHeight="1" x14ac:dyDescent="0.25">
      <c r="B268" s="577" t="s">
        <v>93</v>
      </c>
      <c r="C268" s="268">
        <v>11900</v>
      </c>
      <c r="D268" s="89">
        <v>679827</v>
      </c>
      <c r="E268" s="89"/>
      <c r="F268" s="89"/>
      <c r="G268" s="89"/>
      <c r="H268" s="261"/>
      <c r="I268" s="89">
        <v>1656.4</v>
      </c>
      <c r="J268" s="261">
        <f>+C268+D268+E268+F268+G268+H268+I268</f>
        <v>693383.4</v>
      </c>
    </row>
    <row r="269" spans="2:10" ht="15" customHeight="1" x14ac:dyDescent="0.25">
      <c r="B269" s="577" t="s">
        <v>94</v>
      </c>
      <c r="C269" s="268">
        <v>4500</v>
      </c>
      <c r="D269" s="89">
        <v>374071</v>
      </c>
      <c r="E269" s="89"/>
      <c r="F269" s="89"/>
      <c r="G269" s="89"/>
      <c r="H269" s="261"/>
      <c r="I269" s="89">
        <v>1490</v>
      </c>
      <c r="J269" s="261">
        <f>+C269+D269+E269+F269+G269+H269+I269</f>
        <v>380061</v>
      </c>
    </row>
    <row r="270" spans="2:10" ht="15" customHeight="1" x14ac:dyDescent="0.25">
      <c r="B270" s="577" t="s">
        <v>101</v>
      </c>
      <c r="C270" s="268">
        <v>2500</v>
      </c>
      <c r="D270" s="89">
        <v>91314</v>
      </c>
      <c r="E270" s="89"/>
      <c r="F270" s="89"/>
      <c r="G270" s="89"/>
      <c r="H270" s="261"/>
      <c r="I270" s="89">
        <v>1331.6</v>
      </c>
      <c r="J270" s="261">
        <f>+C270+D270+E270+F270+G270+H270+I270</f>
        <v>95145.600000000006</v>
      </c>
    </row>
    <row r="271" spans="2:10" ht="15" customHeight="1" x14ac:dyDescent="0.25">
      <c r="B271" s="570" t="s">
        <v>140</v>
      </c>
      <c r="C271" s="269">
        <f t="shared" ref="C271:J271" si="43">SUM(C268:C270)</f>
        <v>18900</v>
      </c>
      <c r="D271" s="86">
        <f t="shared" si="43"/>
        <v>1145212</v>
      </c>
      <c r="E271" s="86">
        <f t="shared" si="43"/>
        <v>0</v>
      </c>
      <c r="F271" s="86">
        <f t="shared" si="43"/>
        <v>0</v>
      </c>
      <c r="G271" s="86">
        <f t="shared" si="43"/>
        <v>0</v>
      </c>
      <c r="H271" s="86">
        <f t="shared" si="43"/>
        <v>0</v>
      </c>
      <c r="I271" s="86">
        <f t="shared" si="43"/>
        <v>4478</v>
      </c>
      <c r="J271" s="86">
        <f t="shared" si="43"/>
        <v>1168590</v>
      </c>
    </row>
    <row r="272" spans="2:10" ht="15" customHeight="1" x14ac:dyDescent="0.25">
      <c r="B272" s="577"/>
      <c r="C272" s="268"/>
      <c r="D272" s="89"/>
      <c r="E272" s="89"/>
      <c r="F272" s="89"/>
      <c r="G272" s="89"/>
      <c r="H272" s="260"/>
      <c r="I272" s="89"/>
      <c r="J272" s="260"/>
    </row>
    <row r="273" spans="2:10" ht="15" customHeight="1" x14ac:dyDescent="0.25">
      <c r="B273" s="577" t="s">
        <v>95</v>
      </c>
      <c r="C273" s="268">
        <v>12400</v>
      </c>
      <c r="D273" s="89">
        <v>733512</v>
      </c>
      <c r="E273" s="89"/>
      <c r="F273" s="89"/>
      <c r="G273" s="89"/>
      <c r="H273" s="261"/>
      <c r="I273" s="89">
        <v>1785.2</v>
      </c>
      <c r="J273" s="261">
        <f>+C273+D273+E273+F273+G273+H273+I273</f>
        <v>747697.2</v>
      </c>
    </row>
    <row r="274" spans="2:10" ht="15" customHeight="1" x14ac:dyDescent="0.25">
      <c r="B274" s="577" t="s">
        <v>96</v>
      </c>
      <c r="C274" s="268">
        <v>7400</v>
      </c>
      <c r="D274" s="89">
        <v>357870</v>
      </c>
      <c r="E274" s="89"/>
      <c r="F274" s="89"/>
      <c r="G274" s="89"/>
      <c r="H274" s="261"/>
      <c r="I274" s="89">
        <v>1462</v>
      </c>
      <c r="J274" s="261">
        <f>+C274+D274+E274+F274+G274+H274+I274</f>
        <v>366732</v>
      </c>
    </row>
    <row r="275" spans="2:10" ht="15" customHeight="1" x14ac:dyDescent="0.25">
      <c r="B275" s="577" t="s">
        <v>97</v>
      </c>
      <c r="C275" s="268">
        <v>6000</v>
      </c>
      <c r="D275" s="89">
        <v>270822</v>
      </c>
      <c r="E275" s="89"/>
      <c r="F275" s="89"/>
      <c r="G275" s="89"/>
      <c r="H275" s="261"/>
      <c r="I275" s="89">
        <v>968.8</v>
      </c>
      <c r="J275" s="261">
        <f>+C275+D275+E275+F275+G275+H275+I275</f>
        <v>277790.8</v>
      </c>
    </row>
    <row r="276" spans="2:10" ht="15" customHeight="1" x14ac:dyDescent="0.25">
      <c r="B276" s="570" t="s">
        <v>141</v>
      </c>
      <c r="C276" s="269">
        <f t="shared" ref="C276:J276" si="44">SUM(C273:C275)</f>
        <v>25800</v>
      </c>
      <c r="D276" s="86">
        <f t="shared" si="44"/>
        <v>1362204</v>
      </c>
      <c r="E276" s="86">
        <f t="shared" si="44"/>
        <v>0</v>
      </c>
      <c r="F276" s="86">
        <f t="shared" si="44"/>
        <v>0</v>
      </c>
      <c r="G276" s="86">
        <f t="shared" si="44"/>
        <v>0</v>
      </c>
      <c r="H276" s="86">
        <f t="shared" si="44"/>
        <v>0</v>
      </c>
      <c r="I276" s="86">
        <f t="shared" si="44"/>
        <v>4216</v>
      </c>
      <c r="J276" s="86">
        <f t="shared" si="44"/>
        <v>1392220</v>
      </c>
    </row>
    <row r="277" spans="2:10" ht="15" customHeight="1" thickBot="1" x14ac:dyDescent="0.3">
      <c r="B277" s="593"/>
      <c r="C277" s="266"/>
      <c r="D277" s="87"/>
      <c r="E277" s="87"/>
      <c r="F277" s="87"/>
      <c r="G277" s="87"/>
      <c r="H277" s="327"/>
      <c r="I277" s="87"/>
      <c r="J277" s="327"/>
    </row>
    <row r="278" spans="2:10" ht="15" customHeight="1" x14ac:dyDescent="0.25">
      <c r="B278" s="14" t="s">
        <v>219</v>
      </c>
    </row>
    <row r="280" spans="2:10" ht="15" customHeight="1" x14ac:dyDescent="0.25">
      <c r="B280" s="864" t="s">
        <v>190</v>
      </c>
      <c r="C280" s="864"/>
      <c r="D280" s="864"/>
      <c r="E280" s="864"/>
      <c r="F280" s="864"/>
      <c r="G280" s="864"/>
      <c r="H280" s="864"/>
      <c r="I280" s="864"/>
      <c r="J280" s="864"/>
    </row>
    <row r="281" spans="2:10" ht="15" customHeight="1" x14ac:dyDescent="0.25">
      <c r="B281" s="864" t="s">
        <v>137</v>
      </c>
      <c r="C281" s="864"/>
      <c r="D281" s="864"/>
      <c r="E281" s="864"/>
      <c r="F281" s="864"/>
      <c r="G281" s="864"/>
      <c r="H281" s="864"/>
      <c r="I281" s="864"/>
      <c r="J281" s="864"/>
    </row>
    <row r="282" spans="2:10" ht="15" customHeight="1" x14ac:dyDescent="0.25">
      <c r="B282" s="864">
        <v>2012</v>
      </c>
      <c r="C282" s="864"/>
      <c r="D282" s="864"/>
      <c r="E282" s="864"/>
      <c r="F282" s="864"/>
      <c r="G282" s="864"/>
      <c r="H282" s="864"/>
      <c r="I282" s="864"/>
      <c r="J282" s="864"/>
    </row>
    <row r="283" spans="2:10" ht="15" customHeight="1" thickBot="1" x14ac:dyDescent="0.3">
      <c r="B283" s="929" t="s">
        <v>135</v>
      </c>
      <c r="C283" s="929"/>
      <c r="D283" s="929"/>
      <c r="E283" s="929"/>
      <c r="F283" s="929"/>
      <c r="G283" s="929"/>
      <c r="H283" s="929"/>
      <c r="I283" s="929"/>
      <c r="J283" s="929"/>
    </row>
    <row r="284" spans="2:10" ht="15" customHeight="1" thickBot="1" x14ac:dyDescent="0.3">
      <c r="B284" s="594" t="s">
        <v>100</v>
      </c>
      <c r="C284" s="595" t="s">
        <v>52</v>
      </c>
      <c r="D284" s="595" t="s">
        <v>123</v>
      </c>
      <c r="E284" s="595" t="s">
        <v>181</v>
      </c>
      <c r="F284" s="595" t="s">
        <v>131</v>
      </c>
      <c r="G284" s="595" t="s">
        <v>232</v>
      </c>
      <c r="H284" s="595" t="s">
        <v>233</v>
      </c>
      <c r="I284" s="595" t="s">
        <v>84</v>
      </c>
      <c r="J284" s="595" t="s">
        <v>78</v>
      </c>
    </row>
    <row r="285" spans="2:10" ht="15" customHeight="1" x14ac:dyDescent="0.25">
      <c r="B285" s="574"/>
      <c r="C285" s="264"/>
      <c r="D285" s="85"/>
      <c r="E285" s="305"/>
      <c r="F285" s="305"/>
      <c r="G285" s="305"/>
      <c r="H285" s="257"/>
      <c r="I285" s="305"/>
      <c r="J285" s="257"/>
    </row>
    <row r="286" spans="2:10" ht="15" customHeight="1" x14ac:dyDescent="0.25">
      <c r="B286" s="570" t="s">
        <v>103</v>
      </c>
      <c r="C286" s="265">
        <f t="shared" ref="C286:H286" si="45">+C292+C297+C302+C307</f>
        <v>259650</v>
      </c>
      <c r="D286" s="86">
        <f t="shared" si="45"/>
        <v>4143075</v>
      </c>
      <c r="E286" s="86">
        <f t="shared" si="45"/>
        <v>0</v>
      </c>
      <c r="F286" s="86">
        <f t="shared" si="45"/>
        <v>0</v>
      </c>
      <c r="G286" s="86">
        <f t="shared" si="45"/>
        <v>3000</v>
      </c>
      <c r="H286" s="86">
        <f t="shared" si="45"/>
        <v>15200</v>
      </c>
      <c r="I286" s="86">
        <f>+I292+I297+I302+I307</f>
        <v>18351</v>
      </c>
      <c r="J286" s="86">
        <f>+J292+J297+J302+J307</f>
        <v>4439276</v>
      </c>
    </row>
    <row r="287" spans="2:10" ht="15" customHeight="1" thickBot="1" x14ac:dyDescent="0.3">
      <c r="B287" s="593"/>
      <c r="C287" s="266"/>
      <c r="D287" s="87"/>
      <c r="E287" s="306"/>
      <c r="F287" s="306"/>
      <c r="G287" s="306"/>
      <c r="H287" s="259"/>
      <c r="I287" s="306"/>
      <c r="J287" s="259"/>
    </row>
    <row r="288" spans="2:10" ht="15" customHeight="1" x14ac:dyDescent="0.25">
      <c r="B288" s="579"/>
      <c r="C288" s="267"/>
      <c r="D288" s="88"/>
      <c r="E288" s="307"/>
      <c r="F288" s="307"/>
      <c r="G288" s="307"/>
      <c r="H288" s="258"/>
      <c r="I288" s="307"/>
      <c r="J288" s="258"/>
    </row>
    <row r="289" spans="2:10" ht="15" customHeight="1" x14ac:dyDescent="0.25">
      <c r="B289" s="577" t="s">
        <v>86</v>
      </c>
      <c r="C289" s="268">
        <v>8700</v>
      </c>
      <c r="D289" s="89">
        <v>400606</v>
      </c>
      <c r="E289" s="89"/>
      <c r="F289" s="89"/>
      <c r="G289" s="89"/>
      <c r="H289" s="261">
        <v>6300</v>
      </c>
      <c r="I289" s="89">
        <v>394</v>
      </c>
      <c r="J289" s="261">
        <f>+C289+D289+E289+F289+G289+H289+I289</f>
        <v>416000</v>
      </c>
    </row>
    <row r="290" spans="2:10" ht="15" customHeight="1" x14ac:dyDescent="0.25">
      <c r="B290" s="577" t="s">
        <v>87</v>
      </c>
      <c r="C290" s="268">
        <v>7500</v>
      </c>
      <c r="D290" s="89">
        <v>244846</v>
      </c>
      <c r="E290" s="89"/>
      <c r="F290" s="89"/>
      <c r="G290" s="89"/>
      <c r="H290" s="261">
        <v>8900</v>
      </c>
      <c r="I290" s="89">
        <v>2750</v>
      </c>
      <c r="J290" s="261">
        <f>+C290+D290+E290+F290+G290+H290+I290</f>
        <v>263996</v>
      </c>
    </row>
    <row r="291" spans="2:10" ht="15" customHeight="1" x14ac:dyDescent="0.25">
      <c r="B291" s="577" t="s">
        <v>88</v>
      </c>
      <c r="C291" s="268">
        <v>2300</v>
      </c>
      <c r="D291" s="89">
        <v>293258</v>
      </c>
      <c r="E291" s="89"/>
      <c r="F291" s="89"/>
      <c r="G291" s="89"/>
      <c r="H291" s="261"/>
      <c r="I291" s="89">
        <v>2753</v>
      </c>
      <c r="J291" s="261">
        <f>+C291+D291+E291+F291+G291+H291+I291</f>
        <v>298311</v>
      </c>
    </row>
    <row r="292" spans="2:10" ht="15" customHeight="1" x14ac:dyDescent="0.25">
      <c r="B292" s="570" t="s">
        <v>138</v>
      </c>
      <c r="C292" s="269">
        <f t="shared" ref="C292:J292" si="46">SUM(C289:C291)</f>
        <v>18500</v>
      </c>
      <c r="D292" s="86">
        <f t="shared" si="46"/>
        <v>938710</v>
      </c>
      <c r="E292" s="86">
        <f t="shared" si="46"/>
        <v>0</v>
      </c>
      <c r="F292" s="86">
        <f t="shared" si="46"/>
        <v>0</v>
      </c>
      <c r="G292" s="86">
        <f t="shared" si="46"/>
        <v>0</v>
      </c>
      <c r="H292" s="86">
        <f t="shared" si="46"/>
        <v>15200</v>
      </c>
      <c r="I292" s="86">
        <f t="shared" si="46"/>
        <v>5897</v>
      </c>
      <c r="J292" s="86">
        <f t="shared" si="46"/>
        <v>978307</v>
      </c>
    </row>
    <row r="293" spans="2:10" ht="15" customHeight="1" x14ac:dyDescent="0.25">
      <c r="B293" s="577"/>
      <c r="C293" s="268"/>
      <c r="D293" s="89"/>
      <c r="E293" s="89"/>
      <c r="F293" s="89"/>
      <c r="G293" s="89"/>
      <c r="H293" s="260"/>
      <c r="I293" s="89"/>
      <c r="J293" s="260"/>
    </row>
    <row r="294" spans="2:10" ht="15" customHeight="1" x14ac:dyDescent="0.25">
      <c r="B294" s="577" t="s">
        <v>89</v>
      </c>
      <c r="C294" s="268">
        <v>197200</v>
      </c>
      <c r="D294" s="89">
        <v>195419</v>
      </c>
      <c r="E294" s="89"/>
      <c r="F294" s="89"/>
      <c r="G294" s="89"/>
      <c r="H294" s="261"/>
      <c r="I294" s="89">
        <v>59</v>
      </c>
      <c r="J294" s="261">
        <f>+C294+D294+E294+F294+G294+H294+I294</f>
        <v>392678</v>
      </c>
    </row>
    <row r="295" spans="2:10" ht="15" customHeight="1" x14ac:dyDescent="0.25">
      <c r="B295" s="577" t="s">
        <v>90</v>
      </c>
      <c r="C295" s="268">
        <v>4500</v>
      </c>
      <c r="D295" s="89">
        <v>402018</v>
      </c>
      <c r="E295" s="89"/>
      <c r="F295" s="89"/>
      <c r="G295" s="89"/>
      <c r="H295" s="261"/>
      <c r="I295" s="89">
        <v>2204</v>
      </c>
      <c r="J295" s="261">
        <f>+C295+D295+E295+F295+G295+H295+I295</f>
        <v>408722</v>
      </c>
    </row>
    <row r="296" spans="2:10" ht="15" customHeight="1" x14ac:dyDescent="0.25">
      <c r="B296" s="577" t="s">
        <v>91</v>
      </c>
      <c r="C296" s="268">
        <v>6050</v>
      </c>
      <c r="D296" s="89">
        <v>440785</v>
      </c>
      <c r="E296" s="89"/>
      <c r="F296" s="89"/>
      <c r="G296" s="89"/>
      <c r="H296" s="261"/>
      <c r="I296" s="89">
        <v>2801</v>
      </c>
      <c r="J296" s="261">
        <f>+C296+D296+E296+F296+G296+H296+I296</f>
        <v>449636</v>
      </c>
    </row>
    <row r="297" spans="2:10" ht="15" customHeight="1" x14ac:dyDescent="0.25">
      <c r="B297" s="570" t="s">
        <v>139</v>
      </c>
      <c r="C297" s="269">
        <f t="shared" ref="C297:J297" si="47">SUM(C294:C296)</f>
        <v>207750</v>
      </c>
      <c r="D297" s="86">
        <f t="shared" si="47"/>
        <v>1038222</v>
      </c>
      <c r="E297" s="86">
        <f t="shared" si="47"/>
        <v>0</v>
      </c>
      <c r="F297" s="86">
        <f t="shared" si="47"/>
        <v>0</v>
      </c>
      <c r="G297" s="86">
        <f t="shared" si="47"/>
        <v>0</v>
      </c>
      <c r="H297" s="86">
        <f t="shared" si="47"/>
        <v>0</v>
      </c>
      <c r="I297" s="86">
        <f t="shared" si="47"/>
        <v>5064</v>
      </c>
      <c r="J297" s="86">
        <f t="shared" si="47"/>
        <v>1251036</v>
      </c>
    </row>
    <row r="298" spans="2:10" ht="15" customHeight="1" x14ac:dyDescent="0.25">
      <c r="B298" s="577"/>
      <c r="C298" s="268"/>
      <c r="D298" s="89"/>
      <c r="E298" s="89"/>
      <c r="F298" s="89"/>
      <c r="G298" s="89"/>
      <c r="H298" s="260"/>
      <c r="I298" s="89"/>
      <c r="J298" s="260"/>
    </row>
    <row r="299" spans="2:10" ht="15" customHeight="1" x14ac:dyDescent="0.25">
      <c r="B299" s="577" t="s">
        <v>93</v>
      </c>
      <c r="C299" s="268">
        <v>3650</v>
      </c>
      <c r="D299" s="89">
        <v>425795</v>
      </c>
      <c r="E299" s="89"/>
      <c r="F299" s="89"/>
      <c r="G299" s="89"/>
      <c r="H299" s="261"/>
      <c r="I299" s="89">
        <v>1652</v>
      </c>
      <c r="J299" s="261">
        <f>+C299+D299+E299+F299+G299+H299+I299</f>
        <v>431097</v>
      </c>
    </row>
    <row r="300" spans="2:10" ht="15" customHeight="1" x14ac:dyDescent="0.25">
      <c r="B300" s="577" t="s">
        <v>94</v>
      </c>
      <c r="C300" s="268">
        <v>5200</v>
      </c>
      <c r="D300" s="89">
        <v>489355</v>
      </c>
      <c r="E300" s="89"/>
      <c r="F300" s="89"/>
      <c r="G300" s="89"/>
      <c r="H300" s="261"/>
      <c r="I300" s="89">
        <v>3581</v>
      </c>
      <c r="J300" s="261">
        <f>+C300+D300+E300+F300+G300+H300+I300</f>
        <v>498136</v>
      </c>
    </row>
    <row r="301" spans="2:10" ht="15" customHeight="1" x14ac:dyDescent="0.25">
      <c r="B301" s="577" t="s">
        <v>101</v>
      </c>
      <c r="C301" s="268">
        <v>800</v>
      </c>
      <c r="D301" s="89">
        <v>257948</v>
      </c>
      <c r="E301" s="89"/>
      <c r="F301" s="89"/>
      <c r="G301" s="89"/>
      <c r="H301" s="261"/>
      <c r="I301" s="89">
        <v>150</v>
      </c>
      <c r="J301" s="261">
        <f>+C301+D301+E301+F301+G301+H301+I301</f>
        <v>258898</v>
      </c>
    </row>
    <row r="302" spans="2:10" ht="15" customHeight="1" x14ac:dyDescent="0.25">
      <c r="B302" s="570" t="s">
        <v>140</v>
      </c>
      <c r="C302" s="269">
        <f t="shared" ref="C302:J302" si="48">SUM(C299:C301)</f>
        <v>9650</v>
      </c>
      <c r="D302" s="86">
        <f t="shared" si="48"/>
        <v>1173098</v>
      </c>
      <c r="E302" s="86">
        <f t="shared" si="48"/>
        <v>0</v>
      </c>
      <c r="F302" s="86">
        <f t="shared" si="48"/>
        <v>0</v>
      </c>
      <c r="G302" s="86">
        <f t="shared" si="48"/>
        <v>0</v>
      </c>
      <c r="H302" s="86">
        <f t="shared" si="48"/>
        <v>0</v>
      </c>
      <c r="I302" s="86">
        <f t="shared" si="48"/>
        <v>5383</v>
      </c>
      <c r="J302" s="86">
        <f t="shared" si="48"/>
        <v>1188131</v>
      </c>
    </row>
    <row r="303" spans="2:10" ht="15" customHeight="1" x14ac:dyDescent="0.25">
      <c r="B303" s="577"/>
      <c r="C303" s="268"/>
      <c r="D303" s="89"/>
      <c r="E303" s="89"/>
      <c r="F303" s="89"/>
      <c r="G303" s="89"/>
      <c r="H303" s="260"/>
      <c r="I303" s="89"/>
      <c r="J303" s="260"/>
    </row>
    <row r="304" spans="2:10" ht="15" customHeight="1" x14ac:dyDescent="0.25">
      <c r="B304" s="577" t="s">
        <v>95</v>
      </c>
      <c r="C304" s="268">
        <v>5800</v>
      </c>
      <c r="D304" s="89">
        <v>433213</v>
      </c>
      <c r="E304" s="89"/>
      <c r="F304" s="89"/>
      <c r="G304" s="89">
        <v>3000</v>
      </c>
      <c r="H304" s="261"/>
      <c r="I304" s="89">
        <v>620</v>
      </c>
      <c r="J304" s="261">
        <f>+C304+D304+E304+F304+G304+H304+I304</f>
        <v>442633</v>
      </c>
    </row>
    <row r="305" spans="2:10" ht="15" customHeight="1" x14ac:dyDescent="0.25">
      <c r="B305" s="577" t="s">
        <v>96</v>
      </c>
      <c r="C305" s="268">
        <v>7600</v>
      </c>
      <c r="D305" s="89">
        <v>300746</v>
      </c>
      <c r="E305" s="89"/>
      <c r="F305" s="89"/>
      <c r="G305" s="89"/>
      <c r="H305" s="261"/>
      <c r="I305" s="89">
        <v>6</v>
      </c>
      <c r="J305" s="261">
        <f>+C305+D305+E305+F305+G305+H305+I305</f>
        <v>308352</v>
      </c>
    </row>
    <row r="306" spans="2:10" ht="15" customHeight="1" x14ac:dyDescent="0.25">
      <c r="B306" s="577" t="s">
        <v>97</v>
      </c>
      <c r="C306" s="268">
        <v>10350</v>
      </c>
      <c r="D306" s="89">
        <v>259086</v>
      </c>
      <c r="E306" s="89"/>
      <c r="F306" s="89"/>
      <c r="G306" s="89"/>
      <c r="H306" s="261"/>
      <c r="I306" s="89">
        <v>1381</v>
      </c>
      <c r="J306" s="261">
        <f>+C306+D306+E306+F306+G306+H306+I306</f>
        <v>270817</v>
      </c>
    </row>
    <row r="307" spans="2:10" ht="15" customHeight="1" x14ac:dyDescent="0.25">
      <c r="B307" s="570" t="s">
        <v>141</v>
      </c>
      <c r="C307" s="269">
        <f t="shared" ref="C307:J307" si="49">SUM(C304:C306)</f>
        <v>23750</v>
      </c>
      <c r="D307" s="86">
        <f t="shared" si="49"/>
        <v>993045</v>
      </c>
      <c r="E307" s="86">
        <f t="shared" si="49"/>
        <v>0</v>
      </c>
      <c r="F307" s="86">
        <f t="shared" si="49"/>
        <v>0</v>
      </c>
      <c r="G307" s="86">
        <f t="shared" si="49"/>
        <v>3000</v>
      </c>
      <c r="H307" s="86">
        <f t="shared" si="49"/>
        <v>0</v>
      </c>
      <c r="I307" s="86">
        <f t="shared" si="49"/>
        <v>2007</v>
      </c>
      <c r="J307" s="86">
        <f t="shared" si="49"/>
        <v>1021802</v>
      </c>
    </row>
    <row r="308" spans="2:10" ht="15" customHeight="1" thickBot="1" x14ac:dyDescent="0.3">
      <c r="B308" s="593"/>
      <c r="C308" s="266"/>
      <c r="D308" s="87"/>
      <c r="E308" s="87"/>
      <c r="F308" s="87"/>
      <c r="G308" s="87"/>
      <c r="H308" s="327"/>
      <c r="I308" s="87"/>
      <c r="J308" s="327"/>
    </row>
    <row r="309" spans="2:10" ht="15" customHeight="1" x14ac:dyDescent="0.25">
      <c r="B309" s="14" t="s">
        <v>219</v>
      </c>
    </row>
    <row r="310" spans="2:10" ht="15" customHeight="1" x14ac:dyDescent="0.25">
      <c r="B310" s="14"/>
    </row>
    <row r="311" spans="2:10" ht="15" customHeight="1" x14ac:dyDescent="0.25">
      <c r="B311" s="864" t="s">
        <v>190</v>
      </c>
      <c r="C311" s="864"/>
      <c r="D311" s="864"/>
      <c r="E311" s="864"/>
      <c r="F311" s="864"/>
      <c r="G311" s="864"/>
      <c r="H311" s="864"/>
      <c r="I311" s="864"/>
      <c r="J311" s="864"/>
    </row>
    <row r="312" spans="2:10" ht="15" customHeight="1" x14ac:dyDescent="0.25">
      <c r="B312" s="864" t="s">
        <v>137</v>
      </c>
      <c r="C312" s="864"/>
      <c r="D312" s="864"/>
      <c r="E312" s="864"/>
      <c r="F312" s="864"/>
      <c r="G312" s="864"/>
      <c r="H312" s="864"/>
      <c r="I312" s="864"/>
      <c r="J312" s="864"/>
    </row>
    <row r="313" spans="2:10" ht="15" customHeight="1" x14ac:dyDescent="0.25">
      <c r="B313" s="864">
        <v>2011</v>
      </c>
      <c r="C313" s="864"/>
      <c r="D313" s="864"/>
      <c r="E313" s="864"/>
      <c r="F313" s="864"/>
      <c r="G313" s="864"/>
      <c r="H313" s="864"/>
      <c r="I313" s="864"/>
      <c r="J313" s="864"/>
    </row>
    <row r="314" spans="2:10" ht="15" customHeight="1" thickBot="1" x14ac:dyDescent="0.3">
      <c r="B314" s="929" t="s">
        <v>135</v>
      </c>
      <c r="C314" s="929"/>
      <c r="D314" s="929"/>
      <c r="E314" s="929"/>
      <c r="F314" s="929"/>
      <c r="G314" s="929"/>
      <c r="H314" s="929"/>
      <c r="I314" s="929"/>
      <c r="J314" s="929"/>
    </row>
    <row r="315" spans="2:10" ht="15" customHeight="1" thickBot="1" x14ac:dyDescent="0.3">
      <c r="B315" s="594" t="s">
        <v>100</v>
      </c>
      <c r="C315" s="595" t="s">
        <v>52</v>
      </c>
      <c r="D315" s="595" t="s">
        <v>123</v>
      </c>
      <c r="E315" s="595" t="s">
        <v>181</v>
      </c>
      <c r="F315" s="595" t="s">
        <v>131</v>
      </c>
      <c r="G315" s="595" t="s">
        <v>232</v>
      </c>
      <c r="H315" s="595" t="s">
        <v>233</v>
      </c>
      <c r="I315" s="595" t="s">
        <v>84</v>
      </c>
      <c r="J315" s="595" t="s">
        <v>78</v>
      </c>
    </row>
    <row r="316" spans="2:10" ht="15" customHeight="1" x14ac:dyDescent="0.25">
      <c r="B316" s="574"/>
      <c r="C316" s="264"/>
      <c r="D316" s="85"/>
      <c r="E316" s="305"/>
      <c r="F316" s="305"/>
      <c r="G316" s="305"/>
      <c r="H316" s="257"/>
      <c r="I316" s="305"/>
      <c r="J316" s="257"/>
    </row>
    <row r="317" spans="2:10" ht="15" customHeight="1" x14ac:dyDescent="0.25">
      <c r="B317" s="570" t="s">
        <v>103</v>
      </c>
      <c r="C317" s="265">
        <f t="shared" ref="C317:H317" si="50">+C323+C328+C333+C338</f>
        <v>182950</v>
      </c>
      <c r="D317" s="86">
        <f t="shared" si="50"/>
        <v>3771914</v>
      </c>
      <c r="E317" s="86">
        <f t="shared" si="50"/>
        <v>0</v>
      </c>
      <c r="F317" s="86">
        <f t="shared" si="50"/>
        <v>0</v>
      </c>
      <c r="G317" s="86">
        <f t="shared" si="50"/>
        <v>2350</v>
      </c>
      <c r="H317" s="86">
        <f t="shared" si="50"/>
        <v>14500</v>
      </c>
      <c r="I317" s="86">
        <f>+I323+I328+I333+I338</f>
        <v>14215</v>
      </c>
      <c r="J317" s="86">
        <f>+J323+J328+J333+J338</f>
        <v>3985929</v>
      </c>
    </row>
    <row r="318" spans="2:10" ht="15" customHeight="1" thickBot="1" x14ac:dyDescent="0.3">
      <c r="B318" s="593"/>
      <c r="C318" s="266"/>
      <c r="D318" s="87"/>
      <c r="E318" s="306"/>
      <c r="F318" s="306"/>
      <c r="G318" s="306"/>
      <c r="H318" s="259"/>
      <c r="I318" s="306"/>
      <c r="J318" s="259"/>
    </row>
    <row r="319" spans="2:10" ht="15" customHeight="1" x14ac:dyDescent="0.25">
      <c r="B319" s="579"/>
      <c r="C319" s="267"/>
      <c r="D319" s="88"/>
      <c r="E319" s="307"/>
      <c r="F319" s="307"/>
      <c r="G319" s="307"/>
      <c r="H319" s="258"/>
      <c r="I319" s="307"/>
      <c r="J319" s="258"/>
    </row>
    <row r="320" spans="2:10" ht="15" customHeight="1" x14ac:dyDescent="0.25">
      <c r="B320" s="577" t="s">
        <v>86</v>
      </c>
      <c r="C320" s="268">
        <f>5500+36900</f>
        <v>42400</v>
      </c>
      <c r="D320" s="89">
        <v>145872</v>
      </c>
      <c r="E320" s="89"/>
      <c r="F320" s="89"/>
      <c r="G320" s="89"/>
      <c r="H320" s="261"/>
      <c r="I320" s="89">
        <v>4290</v>
      </c>
      <c r="J320" s="261">
        <f>+C320+D320+E320+F320+G320+H320+I320</f>
        <v>192562</v>
      </c>
    </row>
    <row r="321" spans="2:10" ht="15" customHeight="1" x14ac:dyDescent="0.25">
      <c r="B321" s="577" t="s">
        <v>87</v>
      </c>
      <c r="C321" s="268">
        <f>4300+36800</f>
        <v>41100</v>
      </c>
      <c r="D321" s="89">
        <v>137658</v>
      </c>
      <c r="E321" s="89"/>
      <c r="F321" s="89"/>
      <c r="G321" s="89"/>
      <c r="H321" s="261"/>
      <c r="I321" s="89">
        <v>2420</v>
      </c>
      <c r="J321" s="261">
        <f>+C321+D321+E321+F321+G321+H321+I321</f>
        <v>181178</v>
      </c>
    </row>
    <row r="322" spans="2:10" ht="15" customHeight="1" x14ac:dyDescent="0.25">
      <c r="B322" s="577" t="s">
        <v>88</v>
      </c>
      <c r="C322" s="268">
        <f>3000+23900</f>
        <v>26900</v>
      </c>
      <c r="D322" s="89">
        <v>279205</v>
      </c>
      <c r="E322" s="89"/>
      <c r="F322" s="89"/>
      <c r="G322" s="89"/>
      <c r="H322" s="261"/>
      <c r="I322" s="89">
        <v>339</v>
      </c>
      <c r="J322" s="261">
        <f>+C322+D322+E322+F322+G322+H322+I322</f>
        <v>306444</v>
      </c>
    </row>
    <row r="323" spans="2:10" ht="15" customHeight="1" x14ac:dyDescent="0.25">
      <c r="B323" s="570" t="s">
        <v>138</v>
      </c>
      <c r="C323" s="269">
        <f t="shared" ref="C323:J323" si="51">SUM(C320:C322)</f>
        <v>110400</v>
      </c>
      <c r="D323" s="86">
        <f t="shared" si="51"/>
        <v>562735</v>
      </c>
      <c r="E323" s="86">
        <f t="shared" si="51"/>
        <v>0</v>
      </c>
      <c r="F323" s="86">
        <f t="shared" si="51"/>
        <v>0</v>
      </c>
      <c r="G323" s="86">
        <f t="shared" si="51"/>
        <v>0</v>
      </c>
      <c r="H323" s="86">
        <f t="shared" si="51"/>
        <v>0</v>
      </c>
      <c r="I323" s="86">
        <f t="shared" si="51"/>
        <v>7049</v>
      </c>
      <c r="J323" s="86">
        <f t="shared" si="51"/>
        <v>680184</v>
      </c>
    </row>
    <row r="324" spans="2:10" ht="15" customHeight="1" x14ac:dyDescent="0.25">
      <c r="B324" s="577"/>
      <c r="C324" s="268"/>
      <c r="D324" s="89"/>
      <c r="E324" s="89"/>
      <c r="F324" s="89"/>
      <c r="G324" s="89"/>
      <c r="H324" s="260"/>
      <c r="I324" s="89"/>
      <c r="J324" s="260"/>
    </row>
    <row r="325" spans="2:10" ht="15" customHeight="1" x14ac:dyDescent="0.25">
      <c r="B325" s="577" t="s">
        <v>89</v>
      </c>
      <c r="C325" s="268">
        <f>5200+26200</f>
        <v>31400</v>
      </c>
      <c r="D325" s="89">
        <v>300336</v>
      </c>
      <c r="E325" s="89"/>
      <c r="F325" s="89"/>
      <c r="G325" s="89"/>
      <c r="H325" s="261"/>
      <c r="I325" s="89">
        <v>26</v>
      </c>
      <c r="J325" s="261">
        <f>+C325+D325+E325+F325+G325+H325+I325</f>
        <v>331762</v>
      </c>
    </row>
    <row r="326" spans="2:10" ht="15" customHeight="1" x14ac:dyDescent="0.25">
      <c r="B326" s="577" t="s">
        <v>90</v>
      </c>
      <c r="C326" s="268">
        <f>500+15200</f>
        <v>15700</v>
      </c>
      <c r="D326" s="89">
        <v>213189</v>
      </c>
      <c r="E326" s="89"/>
      <c r="F326" s="89"/>
      <c r="G326" s="89"/>
      <c r="H326" s="261"/>
      <c r="I326" s="89">
        <v>233</v>
      </c>
      <c r="J326" s="261">
        <f>+C326+D326+E326+F326+G326+H326+I326</f>
        <v>229122</v>
      </c>
    </row>
    <row r="327" spans="2:10" ht="15" customHeight="1" x14ac:dyDescent="0.25">
      <c r="B327" s="577" t="s">
        <v>91</v>
      </c>
      <c r="C327" s="268">
        <f>1200+2000</f>
        <v>3200</v>
      </c>
      <c r="D327" s="89">
        <v>379411</v>
      </c>
      <c r="E327" s="89"/>
      <c r="F327" s="89"/>
      <c r="G327" s="89"/>
      <c r="H327" s="261"/>
      <c r="I327" s="89">
        <v>236</v>
      </c>
      <c r="J327" s="261">
        <f>+C327+D327+E327+F327+G327+H327+I327</f>
        <v>382847</v>
      </c>
    </row>
    <row r="328" spans="2:10" ht="15" customHeight="1" x14ac:dyDescent="0.25">
      <c r="B328" s="570" t="s">
        <v>139</v>
      </c>
      <c r="C328" s="269">
        <f t="shared" ref="C328:J328" si="52">SUM(C325:C327)</f>
        <v>50300</v>
      </c>
      <c r="D328" s="86">
        <f t="shared" si="52"/>
        <v>892936</v>
      </c>
      <c r="E328" s="86">
        <f t="shared" si="52"/>
        <v>0</v>
      </c>
      <c r="F328" s="86">
        <f t="shared" si="52"/>
        <v>0</v>
      </c>
      <c r="G328" s="86">
        <f t="shared" si="52"/>
        <v>0</v>
      </c>
      <c r="H328" s="86">
        <f t="shared" si="52"/>
        <v>0</v>
      </c>
      <c r="I328" s="86">
        <f t="shared" si="52"/>
        <v>495</v>
      </c>
      <c r="J328" s="86">
        <f t="shared" si="52"/>
        <v>943731</v>
      </c>
    </row>
    <row r="329" spans="2:10" ht="15" customHeight="1" x14ac:dyDescent="0.25">
      <c r="B329" s="577"/>
      <c r="C329" s="268"/>
      <c r="D329" s="89"/>
      <c r="E329" s="89"/>
      <c r="F329" s="89"/>
      <c r="G329" s="89"/>
      <c r="H329" s="260"/>
      <c r="I329" s="89"/>
      <c r="J329" s="260"/>
    </row>
    <row r="330" spans="2:10" ht="15" customHeight="1" x14ac:dyDescent="0.25">
      <c r="B330" s="577" t="s">
        <v>93</v>
      </c>
      <c r="C330" s="268">
        <v>2300</v>
      </c>
      <c r="D330" s="89">
        <v>441088</v>
      </c>
      <c r="E330" s="89"/>
      <c r="F330" s="89"/>
      <c r="G330" s="89"/>
      <c r="H330" s="261"/>
      <c r="I330" s="89">
        <v>39</v>
      </c>
      <c r="J330" s="261">
        <f>+C330+D330+E330+F330+G330+H330+I330</f>
        <v>443427</v>
      </c>
    </row>
    <row r="331" spans="2:10" ht="15" customHeight="1" x14ac:dyDescent="0.25">
      <c r="B331" s="577" t="s">
        <v>94</v>
      </c>
      <c r="C331" s="268">
        <v>1100</v>
      </c>
      <c r="D331" s="89">
        <v>306444</v>
      </c>
      <c r="E331" s="89"/>
      <c r="F331" s="89"/>
      <c r="G331" s="89"/>
      <c r="H331" s="261"/>
      <c r="I331" s="89">
        <v>63</v>
      </c>
      <c r="J331" s="261">
        <f>+C331+D331+E331+F331+G331+H331+I331</f>
        <v>307607</v>
      </c>
    </row>
    <row r="332" spans="2:10" ht="15" customHeight="1" x14ac:dyDescent="0.25">
      <c r="B332" s="577" t="s">
        <v>101</v>
      </c>
      <c r="C332" s="268">
        <f>1850+1600</f>
        <v>3450</v>
      </c>
      <c r="D332" s="89">
        <v>201622</v>
      </c>
      <c r="E332" s="89"/>
      <c r="F332" s="89"/>
      <c r="G332" s="89">
        <v>2350</v>
      </c>
      <c r="H332" s="261"/>
      <c r="I332" s="89">
        <v>6512</v>
      </c>
      <c r="J332" s="261">
        <f>+C332+D332+E332+F332+G332+H332+I332</f>
        <v>213934</v>
      </c>
    </row>
    <row r="333" spans="2:10" ht="15" customHeight="1" x14ac:dyDescent="0.25">
      <c r="B333" s="570" t="s">
        <v>140</v>
      </c>
      <c r="C333" s="269">
        <f t="shared" ref="C333:J333" si="53">SUM(C330:C332)</f>
        <v>6850</v>
      </c>
      <c r="D333" s="86">
        <f t="shared" si="53"/>
        <v>949154</v>
      </c>
      <c r="E333" s="86">
        <f t="shared" si="53"/>
        <v>0</v>
      </c>
      <c r="F333" s="86">
        <f t="shared" si="53"/>
        <v>0</v>
      </c>
      <c r="G333" s="86">
        <f t="shared" si="53"/>
        <v>2350</v>
      </c>
      <c r="H333" s="86">
        <f t="shared" si="53"/>
        <v>0</v>
      </c>
      <c r="I333" s="86">
        <f t="shared" si="53"/>
        <v>6614</v>
      </c>
      <c r="J333" s="86">
        <f t="shared" si="53"/>
        <v>964968</v>
      </c>
    </row>
    <row r="334" spans="2:10" ht="15" customHeight="1" x14ac:dyDescent="0.25">
      <c r="B334" s="577"/>
      <c r="C334" s="268"/>
      <c r="D334" s="89"/>
      <c r="E334" s="89"/>
      <c r="F334" s="89"/>
      <c r="G334" s="89"/>
      <c r="H334" s="260"/>
      <c r="I334" s="89"/>
      <c r="J334" s="260"/>
    </row>
    <row r="335" spans="2:10" ht="15" customHeight="1" x14ac:dyDescent="0.25">
      <c r="B335" s="577" t="s">
        <v>95</v>
      </c>
      <c r="C335" s="268">
        <f>800+2500</f>
        <v>3300</v>
      </c>
      <c r="D335" s="89">
        <v>581280</v>
      </c>
      <c r="E335" s="89"/>
      <c r="F335" s="89"/>
      <c r="G335" s="89"/>
      <c r="H335" s="261">
        <v>5500</v>
      </c>
      <c r="I335" s="89">
        <v>51</v>
      </c>
      <c r="J335" s="261">
        <f>+C335+D335+E335+F335+G335+H335+I335</f>
        <v>590131</v>
      </c>
    </row>
    <row r="336" spans="2:10" ht="15" customHeight="1" x14ac:dyDescent="0.25">
      <c r="B336" s="577" t="s">
        <v>96</v>
      </c>
      <c r="C336" s="268">
        <f>2200+800</f>
        <v>3000</v>
      </c>
      <c r="D336" s="89">
        <v>264195</v>
      </c>
      <c r="E336" s="89"/>
      <c r="F336" s="89"/>
      <c r="G336" s="89"/>
      <c r="H336" s="261"/>
      <c r="I336" s="89">
        <v>6</v>
      </c>
      <c r="J336" s="261">
        <f>+C336+D336+E336+F336+G336+H336+I336</f>
        <v>267201</v>
      </c>
    </row>
    <row r="337" spans="2:10" ht="15" customHeight="1" x14ac:dyDescent="0.25">
      <c r="B337" s="577" t="s">
        <v>97</v>
      </c>
      <c r="C337" s="268">
        <f>5400+3700</f>
        <v>9100</v>
      </c>
      <c r="D337" s="89">
        <v>521614</v>
      </c>
      <c r="E337" s="89"/>
      <c r="F337" s="89"/>
      <c r="G337" s="89"/>
      <c r="H337" s="261">
        <v>9000</v>
      </c>
      <c r="I337" s="89">
        <v>0</v>
      </c>
      <c r="J337" s="261">
        <f>+C337+D337+E337+F337+G337+H337+I337</f>
        <v>539714</v>
      </c>
    </row>
    <row r="338" spans="2:10" ht="15" customHeight="1" x14ac:dyDescent="0.25">
      <c r="B338" s="570" t="s">
        <v>141</v>
      </c>
      <c r="C338" s="269">
        <f t="shared" ref="C338:J338" si="54">SUM(C335:C337)</f>
        <v>15400</v>
      </c>
      <c r="D338" s="86">
        <f t="shared" si="54"/>
        <v>1367089</v>
      </c>
      <c r="E338" s="86">
        <f t="shared" si="54"/>
        <v>0</v>
      </c>
      <c r="F338" s="86">
        <f t="shared" si="54"/>
        <v>0</v>
      </c>
      <c r="G338" s="86">
        <f t="shared" si="54"/>
        <v>0</v>
      </c>
      <c r="H338" s="86">
        <f t="shared" si="54"/>
        <v>14500</v>
      </c>
      <c r="I338" s="86">
        <f t="shared" si="54"/>
        <v>57</v>
      </c>
      <c r="J338" s="86">
        <f t="shared" si="54"/>
        <v>1397046</v>
      </c>
    </row>
    <row r="339" spans="2:10" ht="15" customHeight="1" thickBot="1" x14ac:dyDescent="0.3">
      <c r="B339" s="593"/>
      <c r="C339" s="266"/>
      <c r="D339" s="87"/>
      <c r="E339" s="87"/>
      <c r="F339" s="87"/>
      <c r="G339" s="87"/>
      <c r="H339" s="327"/>
      <c r="I339" s="87"/>
      <c r="J339" s="327"/>
    </row>
    <row r="340" spans="2:10" ht="15" customHeight="1" x14ac:dyDescent="0.25">
      <c r="B340" s="14" t="s">
        <v>219</v>
      </c>
    </row>
    <row r="342" spans="2:10" ht="15" customHeight="1" x14ac:dyDescent="0.25">
      <c r="B342" s="864" t="s">
        <v>190</v>
      </c>
      <c r="C342" s="864"/>
      <c r="D342" s="864"/>
      <c r="E342" s="864"/>
      <c r="F342" s="864"/>
      <c r="G342" s="864"/>
      <c r="H342" s="864"/>
    </row>
    <row r="343" spans="2:10" ht="15" customHeight="1" x14ac:dyDescent="0.25">
      <c r="B343" s="864" t="s">
        <v>137</v>
      </c>
      <c r="C343" s="864"/>
      <c r="D343" s="864"/>
      <c r="E343" s="864"/>
      <c r="F343" s="864"/>
      <c r="G343" s="864"/>
      <c r="H343" s="864"/>
    </row>
    <row r="344" spans="2:10" ht="15" customHeight="1" x14ac:dyDescent="0.25">
      <c r="B344" s="864">
        <v>2010</v>
      </c>
      <c r="C344" s="864"/>
      <c r="D344" s="864"/>
      <c r="E344" s="864"/>
      <c r="F344" s="864"/>
      <c r="G344" s="864"/>
      <c r="H344" s="864"/>
    </row>
    <row r="345" spans="2:10" ht="15" customHeight="1" thickBot="1" x14ac:dyDescent="0.3">
      <c r="B345" s="929" t="s">
        <v>135</v>
      </c>
      <c r="C345" s="929"/>
      <c r="D345" s="929"/>
      <c r="E345" s="929"/>
      <c r="F345" s="929"/>
      <c r="G345" s="929"/>
      <c r="H345" s="929"/>
    </row>
    <row r="346" spans="2:10" ht="24.9" customHeight="1" thickBot="1" x14ac:dyDescent="0.3">
      <c r="B346" s="594" t="s">
        <v>100</v>
      </c>
      <c r="C346" s="595" t="s">
        <v>52</v>
      </c>
      <c r="D346" s="595" t="s">
        <v>123</v>
      </c>
      <c r="E346" s="595" t="s">
        <v>181</v>
      </c>
      <c r="F346" s="595" t="s">
        <v>131</v>
      </c>
      <c r="G346" s="595" t="s">
        <v>84</v>
      </c>
      <c r="H346" s="595" t="s">
        <v>78</v>
      </c>
    </row>
    <row r="347" spans="2:10" ht="15" customHeight="1" x14ac:dyDescent="0.25">
      <c r="B347" s="574"/>
      <c r="C347" s="264"/>
      <c r="D347" s="85"/>
      <c r="E347" s="305"/>
      <c r="F347" s="305"/>
      <c r="G347" s="305"/>
      <c r="H347" s="257"/>
    </row>
    <row r="348" spans="2:10" ht="15" customHeight="1" x14ac:dyDescent="0.25">
      <c r="B348" s="570" t="s">
        <v>103</v>
      </c>
      <c r="C348" s="265">
        <f t="shared" ref="C348:H348" si="55">+C354+C359+C364+C369</f>
        <v>483550</v>
      </c>
      <c r="D348" s="86">
        <f t="shared" si="55"/>
        <v>3878310</v>
      </c>
      <c r="E348" s="86">
        <f t="shared" si="55"/>
        <v>0</v>
      </c>
      <c r="F348" s="86">
        <f t="shared" si="55"/>
        <v>0</v>
      </c>
      <c r="G348" s="86">
        <f t="shared" si="55"/>
        <v>18275</v>
      </c>
      <c r="H348" s="86">
        <f t="shared" si="55"/>
        <v>4380135</v>
      </c>
    </row>
    <row r="349" spans="2:10" ht="15" customHeight="1" thickBot="1" x14ac:dyDescent="0.3">
      <c r="B349" s="593"/>
      <c r="C349" s="266"/>
      <c r="D349" s="87"/>
      <c r="E349" s="306"/>
      <c r="F349" s="306"/>
      <c r="G349" s="306"/>
      <c r="H349" s="259"/>
    </row>
    <row r="350" spans="2:10" ht="15" customHeight="1" x14ac:dyDescent="0.25">
      <c r="B350" s="579"/>
      <c r="C350" s="267"/>
      <c r="D350" s="88"/>
      <c r="E350" s="307"/>
      <c r="F350" s="307"/>
      <c r="G350" s="307"/>
      <c r="H350" s="258"/>
    </row>
    <row r="351" spans="2:10" ht="15" customHeight="1" x14ac:dyDescent="0.25">
      <c r="B351" s="577" t="s">
        <v>86</v>
      </c>
      <c r="C351" s="268">
        <v>50500</v>
      </c>
      <c r="D351" s="89">
        <v>150429</v>
      </c>
      <c r="E351" s="89"/>
      <c r="F351" s="89"/>
      <c r="G351" s="89">
        <v>1141</v>
      </c>
      <c r="H351" s="261">
        <f>+C351+D351+E351+F351+G351</f>
        <v>202070</v>
      </c>
    </row>
    <row r="352" spans="2:10" ht="15" customHeight="1" x14ac:dyDescent="0.25">
      <c r="B352" s="577" t="s">
        <v>87</v>
      </c>
      <c r="C352" s="268">
        <v>55900</v>
      </c>
      <c r="D352" s="89">
        <v>127548</v>
      </c>
      <c r="E352" s="89"/>
      <c r="F352" s="89"/>
      <c r="G352" s="89">
        <v>1175</v>
      </c>
      <c r="H352" s="261">
        <f>+C352+D352+E352+F352+G352</f>
        <v>184623</v>
      </c>
    </row>
    <row r="353" spans="2:8" ht="15" customHeight="1" x14ac:dyDescent="0.25">
      <c r="B353" s="577" t="s">
        <v>88</v>
      </c>
      <c r="C353" s="268">
        <v>61400</v>
      </c>
      <c r="D353" s="89">
        <v>105694</v>
      </c>
      <c r="E353" s="89"/>
      <c r="F353" s="89"/>
      <c r="G353" s="89">
        <v>869</v>
      </c>
      <c r="H353" s="261">
        <f>+C353+D353+E353+F353+G353</f>
        <v>167963</v>
      </c>
    </row>
    <row r="354" spans="2:8" ht="15" customHeight="1" x14ac:dyDescent="0.25">
      <c r="B354" s="570" t="s">
        <v>138</v>
      </c>
      <c r="C354" s="269">
        <f>SUM(C351:C353)</f>
        <v>167800</v>
      </c>
      <c r="D354" s="86">
        <f>SUM(D351:D353)</f>
        <v>383671</v>
      </c>
      <c r="E354" s="86">
        <f>SUM(E351:E353)</f>
        <v>0</v>
      </c>
      <c r="F354" s="86">
        <f>SUM(F351:F353)</f>
        <v>0</v>
      </c>
      <c r="G354" s="86">
        <f>SUM(G351:G353)</f>
        <v>3185</v>
      </c>
      <c r="H354" s="86">
        <f>+C354+D354+E354+F354+G354</f>
        <v>554656</v>
      </c>
    </row>
    <row r="355" spans="2:8" ht="15" customHeight="1" x14ac:dyDescent="0.25">
      <c r="B355" s="577"/>
      <c r="C355" s="268"/>
      <c r="D355" s="89"/>
      <c r="E355" s="89"/>
      <c r="F355" s="89"/>
      <c r="G355" s="89"/>
      <c r="H355" s="260"/>
    </row>
    <row r="356" spans="2:8" ht="15" customHeight="1" x14ac:dyDescent="0.25">
      <c r="B356" s="577" t="s">
        <v>89</v>
      </c>
      <c r="C356" s="268">
        <v>47850</v>
      </c>
      <c r="D356" s="89">
        <v>395403</v>
      </c>
      <c r="E356" s="89"/>
      <c r="F356" s="89"/>
      <c r="G356" s="89">
        <v>24</v>
      </c>
      <c r="H356" s="261">
        <f>+C356+D356+E356+F356+G356</f>
        <v>443277</v>
      </c>
    </row>
    <row r="357" spans="2:8" ht="15" customHeight="1" x14ac:dyDescent="0.25">
      <c r="B357" s="577" t="s">
        <v>90</v>
      </c>
      <c r="C357" s="268">
        <v>29600</v>
      </c>
      <c r="D357" s="89">
        <v>368126</v>
      </c>
      <c r="E357" s="89"/>
      <c r="F357" s="89"/>
      <c r="G357" s="89">
        <v>6223</v>
      </c>
      <c r="H357" s="261">
        <f>+C357+D357+E357+F357+G357</f>
        <v>403949</v>
      </c>
    </row>
    <row r="358" spans="2:8" ht="15" customHeight="1" x14ac:dyDescent="0.25">
      <c r="B358" s="577" t="s">
        <v>91</v>
      </c>
      <c r="C358" s="268">
        <v>35000</v>
      </c>
      <c r="D358" s="89">
        <v>452135</v>
      </c>
      <c r="E358" s="89"/>
      <c r="F358" s="89"/>
      <c r="G358" s="89">
        <v>1024</v>
      </c>
      <c r="H358" s="261">
        <f>+C358+D358+E358+F358+G358</f>
        <v>488159</v>
      </c>
    </row>
    <row r="359" spans="2:8" ht="15" customHeight="1" x14ac:dyDescent="0.25">
      <c r="B359" s="570" t="s">
        <v>139</v>
      </c>
      <c r="C359" s="269">
        <f>SUM(C356:C358)</f>
        <v>112450</v>
      </c>
      <c r="D359" s="86">
        <f>SUM(D356:D358)</f>
        <v>1215664</v>
      </c>
      <c r="E359" s="86">
        <f>SUM(E356:E358)</f>
        <v>0</v>
      </c>
      <c r="F359" s="86">
        <f>SUM(F356:F358)</f>
        <v>0</v>
      </c>
      <c r="G359" s="86">
        <f>SUM(G356:G358)</f>
        <v>7271</v>
      </c>
      <c r="H359" s="86">
        <f>+C359+D359+E359+F359+G359</f>
        <v>1335385</v>
      </c>
    </row>
    <row r="360" spans="2:8" ht="15" customHeight="1" x14ac:dyDescent="0.25">
      <c r="B360" s="577"/>
      <c r="C360" s="268"/>
      <c r="D360" s="89"/>
      <c r="E360" s="89"/>
      <c r="F360" s="89"/>
      <c r="G360" s="89"/>
      <c r="H360" s="260"/>
    </row>
    <row r="361" spans="2:8" ht="15" customHeight="1" x14ac:dyDescent="0.25">
      <c r="B361" s="577" t="s">
        <v>93</v>
      </c>
      <c r="C361" s="268">
        <v>36500</v>
      </c>
      <c r="D361" s="89">
        <v>306675</v>
      </c>
      <c r="E361" s="89"/>
      <c r="F361" s="89"/>
      <c r="G361" s="89">
        <v>240</v>
      </c>
      <c r="H361" s="261">
        <f>+C361+D361+E361+F361+G361</f>
        <v>343415</v>
      </c>
    </row>
    <row r="362" spans="2:8" ht="15" customHeight="1" x14ac:dyDescent="0.25">
      <c r="B362" s="577" t="s">
        <v>94</v>
      </c>
      <c r="C362" s="268">
        <v>34200</v>
      </c>
      <c r="D362" s="89">
        <v>322206</v>
      </c>
      <c r="E362" s="89"/>
      <c r="F362" s="89"/>
      <c r="G362" s="89">
        <v>24</v>
      </c>
      <c r="H362" s="261">
        <f>+C362+D362+E362+F362+G362</f>
        <v>356430</v>
      </c>
    </row>
    <row r="363" spans="2:8" ht="15" customHeight="1" x14ac:dyDescent="0.25">
      <c r="B363" s="577" t="s">
        <v>101</v>
      </c>
      <c r="C363" s="268">
        <v>26000</v>
      </c>
      <c r="D363" s="89">
        <v>76904</v>
      </c>
      <c r="E363" s="89"/>
      <c r="F363" s="89"/>
      <c r="G363" s="89">
        <v>0</v>
      </c>
      <c r="H363" s="261">
        <f>+C363+D363+E363+F363+G363</f>
        <v>102904</v>
      </c>
    </row>
    <row r="364" spans="2:8" ht="15" customHeight="1" x14ac:dyDescent="0.25">
      <c r="B364" s="570" t="s">
        <v>140</v>
      </c>
      <c r="C364" s="269">
        <f>SUM(C361:C363)</f>
        <v>96700</v>
      </c>
      <c r="D364" s="86">
        <f>SUM(D361:D363)</f>
        <v>705785</v>
      </c>
      <c r="E364" s="86">
        <f>SUM(E361:E363)</f>
        <v>0</v>
      </c>
      <c r="F364" s="86">
        <f>SUM(F361:F363)</f>
        <v>0</v>
      </c>
      <c r="G364" s="86">
        <f>SUM(G361:G363)</f>
        <v>264</v>
      </c>
      <c r="H364" s="86">
        <f>+C364+D364+E364+F364+G364</f>
        <v>802749</v>
      </c>
    </row>
    <row r="365" spans="2:8" ht="15" customHeight="1" x14ac:dyDescent="0.25">
      <c r="B365" s="577"/>
      <c r="C365" s="268"/>
      <c r="D365" s="89"/>
      <c r="E365" s="89"/>
      <c r="F365" s="89"/>
      <c r="G365" s="89"/>
      <c r="H365" s="260"/>
    </row>
    <row r="366" spans="2:8" ht="15" customHeight="1" x14ac:dyDescent="0.25">
      <c r="B366" s="577" t="s">
        <v>95</v>
      </c>
      <c r="C366" s="268">
        <v>32200</v>
      </c>
      <c r="D366" s="89">
        <v>511090</v>
      </c>
      <c r="E366" s="89"/>
      <c r="F366" s="89"/>
      <c r="G366" s="89">
        <v>1015</v>
      </c>
      <c r="H366" s="261">
        <f>+C366+D366+E366+F366+G366</f>
        <v>544305</v>
      </c>
    </row>
    <row r="367" spans="2:8" ht="15" customHeight="1" x14ac:dyDescent="0.25">
      <c r="B367" s="577" t="s">
        <v>96</v>
      </c>
      <c r="C367" s="268">
        <v>36800</v>
      </c>
      <c r="D367" s="89">
        <v>501522</v>
      </c>
      <c r="E367" s="89"/>
      <c r="F367" s="89"/>
      <c r="G367" s="89">
        <v>550</v>
      </c>
      <c r="H367" s="261">
        <f>+C367+D367+E367+F367+G367</f>
        <v>538872</v>
      </c>
    </row>
    <row r="368" spans="2:8" ht="15" customHeight="1" x14ac:dyDescent="0.25">
      <c r="B368" s="577" t="s">
        <v>97</v>
      </c>
      <c r="C368" s="268">
        <v>37600</v>
      </c>
      <c r="D368" s="89">
        <v>560578</v>
      </c>
      <c r="E368" s="89"/>
      <c r="F368" s="89"/>
      <c r="G368" s="89">
        <v>5990</v>
      </c>
      <c r="H368" s="261">
        <f>+C368+D368+E368+F368+G368</f>
        <v>604168</v>
      </c>
    </row>
    <row r="369" spans="2:8" ht="15" customHeight="1" x14ac:dyDescent="0.25">
      <c r="B369" s="570" t="s">
        <v>141</v>
      </c>
      <c r="C369" s="269">
        <f>SUM(C366:C368)</f>
        <v>106600</v>
      </c>
      <c r="D369" s="86">
        <f>SUM(D366:D368)</f>
        <v>1573190</v>
      </c>
      <c r="E369" s="86">
        <f>SUM(E366:E368)</f>
        <v>0</v>
      </c>
      <c r="F369" s="86">
        <f>SUM(F366:F368)</f>
        <v>0</v>
      </c>
      <c r="G369" s="86">
        <f>SUM(G366:G368)</f>
        <v>7555</v>
      </c>
      <c r="H369" s="86">
        <f>+C369+D369+E369+F369+G369</f>
        <v>1687345</v>
      </c>
    </row>
    <row r="370" spans="2:8" ht="15" customHeight="1" thickBot="1" x14ac:dyDescent="0.3">
      <c r="B370" s="593"/>
      <c r="C370" s="266"/>
      <c r="D370" s="87"/>
      <c r="E370" s="87"/>
      <c r="F370" s="87"/>
      <c r="G370" s="87"/>
      <c r="H370" s="327"/>
    </row>
    <row r="371" spans="2:8" ht="15" customHeight="1" x14ac:dyDescent="0.25">
      <c r="B371" s="14" t="s">
        <v>219</v>
      </c>
    </row>
    <row r="373" spans="2:8" ht="15" customHeight="1" x14ac:dyDescent="0.25">
      <c r="B373" s="864" t="s">
        <v>190</v>
      </c>
      <c r="C373" s="864"/>
      <c r="D373" s="864"/>
      <c r="E373" s="864"/>
      <c r="F373" s="864"/>
      <c r="G373" s="864"/>
      <c r="H373" s="864"/>
    </row>
    <row r="374" spans="2:8" ht="15" customHeight="1" x14ac:dyDescent="0.25">
      <c r="B374" s="864" t="s">
        <v>137</v>
      </c>
      <c r="C374" s="864"/>
      <c r="D374" s="864"/>
      <c r="E374" s="864"/>
      <c r="F374" s="864"/>
      <c r="G374" s="864"/>
      <c r="H374" s="864"/>
    </row>
    <row r="375" spans="2:8" ht="15" customHeight="1" x14ac:dyDescent="0.25">
      <c r="B375" s="864">
        <v>2009</v>
      </c>
      <c r="C375" s="864"/>
      <c r="D375" s="864"/>
      <c r="E375" s="864"/>
      <c r="F375" s="864"/>
      <c r="G375" s="864"/>
      <c r="H375" s="864"/>
    </row>
    <row r="376" spans="2:8" ht="15" customHeight="1" thickBot="1" x14ac:dyDescent="0.3">
      <c r="B376" s="929" t="s">
        <v>135</v>
      </c>
      <c r="C376" s="929"/>
      <c r="D376" s="929"/>
      <c r="E376" s="929"/>
      <c r="F376" s="929"/>
      <c r="G376" s="929"/>
      <c r="H376" s="929"/>
    </row>
    <row r="377" spans="2:8" ht="24.9" customHeight="1" thickBot="1" x14ac:dyDescent="0.3">
      <c r="B377" s="594" t="s">
        <v>100</v>
      </c>
      <c r="C377" s="595" t="s">
        <v>52</v>
      </c>
      <c r="D377" s="595" t="s">
        <v>123</v>
      </c>
      <c r="E377" s="595" t="s">
        <v>181</v>
      </c>
      <c r="F377" s="595" t="s">
        <v>131</v>
      </c>
      <c r="G377" s="595" t="s">
        <v>84</v>
      </c>
      <c r="H377" s="595" t="s">
        <v>78</v>
      </c>
    </row>
    <row r="378" spans="2:8" ht="15" customHeight="1" x14ac:dyDescent="0.25">
      <c r="B378" s="574"/>
      <c r="C378" s="264"/>
      <c r="D378" s="85"/>
      <c r="E378" s="305"/>
      <c r="F378" s="305"/>
      <c r="G378" s="305"/>
      <c r="H378" s="257"/>
    </row>
    <row r="379" spans="2:8" ht="15" customHeight="1" x14ac:dyDescent="0.25">
      <c r="B379" s="570" t="s">
        <v>103</v>
      </c>
      <c r="C379" s="265">
        <f t="shared" ref="C379:H379" si="56">+C385+C390+C395+C400</f>
        <v>620870</v>
      </c>
      <c r="D379" s="86">
        <f t="shared" si="56"/>
        <v>3271887</v>
      </c>
      <c r="E379" s="86">
        <f t="shared" si="56"/>
        <v>0</v>
      </c>
      <c r="F379" s="86">
        <f t="shared" si="56"/>
        <v>3000</v>
      </c>
      <c r="G379" s="86">
        <f t="shared" si="56"/>
        <v>20134.509999999998</v>
      </c>
      <c r="H379" s="86">
        <f t="shared" si="56"/>
        <v>3915891.5100000002</v>
      </c>
    </row>
    <row r="380" spans="2:8" ht="15" customHeight="1" thickBot="1" x14ac:dyDescent="0.3">
      <c r="B380" s="593"/>
      <c r="C380" s="266"/>
      <c r="D380" s="87"/>
      <c r="E380" s="306"/>
      <c r="F380" s="306"/>
      <c r="G380" s="306"/>
      <c r="H380" s="259"/>
    </row>
    <row r="381" spans="2:8" ht="15" customHeight="1" x14ac:dyDescent="0.25">
      <c r="B381" s="579"/>
      <c r="C381" s="267"/>
      <c r="D381" s="88"/>
      <c r="E381" s="307"/>
      <c r="F381" s="307"/>
      <c r="G381" s="307"/>
      <c r="H381" s="258"/>
    </row>
    <row r="382" spans="2:8" ht="15" customHeight="1" x14ac:dyDescent="0.25">
      <c r="B382" s="577" t="s">
        <v>86</v>
      </c>
      <c r="C382" s="268">
        <v>67900</v>
      </c>
      <c r="D382" s="89">
        <v>147178</v>
      </c>
      <c r="E382" s="89"/>
      <c r="F382" s="89">
        <v>2000</v>
      </c>
      <c r="G382" s="89">
        <f>964.25+8</f>
        <v>972.25</v>
      </c>
      <c r="H382" s="261">
        <f>+C382+D382+E382+F382+G382</f>
        <v>218050.25</v>
      </c>
    </row>
    <row r="383" spans="2:8" ht="15" customHeight="1" x14ac:dyDescent="0.25">
      <c r="B383" s="577" t="s">
        <v>87</v>
      </c>
      <c r="C383" s="268">
        <v>47740</v>
      </c>
      <c r="D383" s="89">
        <v>208867</v>
      </c>
      <c r="E383" s="89"/>
      <c r="F383" s="89">
        <v>0</v>
      </c>
      <c r="G383" s="89">
        <f>366.64+30+8</f>
        <v>404.64</v>
      </c>
      <c r="H383" s="261">
        <f>+C383+D383+E383+F383+G383</f>
        <v>257011.64</v>
      </c>
    </row>
    <row r="384" spans="2:8" ht="15" customHeight="1" x14ac:dyDescent="0.25">
      <c r="B384" s="577" t="s">
        <v>88</v>
      </c>
      <c r="C384" s="268">
        <v>55850</v>
      </c>
      <c r="D384" s="89">
        <v>133442</v>
      </c>
      <c r="E384" s="89"/>
      <c r="F384" s="89"/>
      <c r="G384" s="89">
        <f>401+935+47</f>
        <v>1383</v>
      </c>
      <c r="H384" s="261">
        <f>+C384+D384+E384+F384+G384</f>
        <v>190675</v>
      </c>
    </row>
    <row r="385" spans="2:8" ht="15" customHeight="1" x14ac:dyDescent="0.25">
      <c r="B385" s="570" t="s">
        <v>138</v>
      </c>
      <c r="C385" s="269">
        <f>SUM(C382:C384)</f>
        <v>171490</v>
      </c>
      <c r="D385" s="86">
        <f>SUM(D382:D384)</f>
        <v>489487</v>
      </c>
      <c r="E385" s="86">
        <f>SUM(E382:E384)</f>
        <v>0</v>
      </c>
      <c r="F385" s="86">
        <f>SUM(F382:F384)</f>
        <v>2000</v>
      </c>
      <c r="G385" s="86">
        <f>SUM(G382:G384)</f>
        <v>2759.89</v>
      </c>
      <c r="H385" s="86">
        <f>+C385+D385+E385+F385+G385</f>
        <v>665736.89</v>
      </c>
    </row>
    <row r="386" spans="2:8" ht="15" customHeight="1" x14ac:dyDescent="0.25">
      <c r="B386" s="577"/>
      <c r="C386" s="268"/>
      <c r="D386" s="89"/>
      <c r="E386" s="89"/>
      <c r="F386" s="89"/>
      <c r="G386" s="89"/>
      <c r="H386" s="260"/>
    </row>
    <row r="387" spans="2:8" ht="15" customHeight="1" x14ac:dyDescent="0.25">
      <c r="B387" s="577" t="s">
        <v>89</v>
      </c>
      <c r="C387" s="268">
        <v>44900</v>
      </c>
      <c r="D387" s="89">
        <v>586502</v>
      </c>
      <c r="E387" s="89"/>
      <c r="F387" s="89"/>
      <c r="G387" s="89">
        <v>2318.5</v>
      </c>
      <c r="H387" s="261">
        <f>+C387+D387+E387+F387+G387</f>
        <v>633720.5</v>
      </c>
    </row>
    <row r="388" spans="2:8" ht="15" customHeight="1" x14ac:dyDescent="0.25">
      <c r="B388" s="577" t="s">
        <v>90</v>
      </c>
      <c r="C388" s="268">
        <v>55100</v>
      </c>
      <c r="D388" s="89">
        <v>451599</v>
      </c>
      <c r="E388" s="89"/>
      <c r="F388" s="89"/>
      <c r="G388" s="89">
        <v>2552</v>
      </c>
      <c r="H388" s="261">
        <f>+C388+D388+E388+F388+G388</f>
        <v>509251</v>
      </c>
    </row>
    <row r="389" spans="2:8" ht="15" customHeight="1" x14ac:dyDescent="0.25">
      <c r="B389" s="577" t="s">
        <v>91</v>
      </c>
      <c r="C389" s="268">
        <v>41280</v>
      </c>
      <c r="D389" s="89">
        <v>336131</v>
      </c>
      <c r="E389" s="89"/>
      <c r="F389" s="89"/>
      <c r="G389" s="89">
        <v>2098.81</v>
      </c>
      <c r="H389" s="261">
        <f>+C389+D389+E389+F389+G389</f>
        <v>379509.81</v>
      </c>
    </row>
    <row r="390" spans="2:8" ht="15" customHeight="1" x14ac:dyDescent="0.25">
      <c r="B390" s="570" t="s">
        <v>139</v>
      </c>
      <c r="C390" s="269">
        <f>SUM(C387:C389)</f>
        <v>141280</v>
      </c>
      <c r="D390" s="86">
        <f>SUM(D387:D389)</f>
        <v>1374232</v>
      </c>
      <c r="E390" s="86">
        <f>SUM(E387:E389)</f>
        <v>0</v>
      </c>
      <c r="F390" s="86">
        <f>SUM(F387:F389)</f>
        <v>0</v>
      </c>
      <c r="G390" s="86">
        <f>SUM(G387:G389)</f>
        <v>6969.3099999999995</v>
      </c>
      <c r="H390" s="86">
        <f>+C390+D390+E390+F390+G390</f>
        <v>1522481.31</v>
      </c>
    </row>
    <row r="391" spans="2:8" ht="15" customHeight="1" x14ac:dyDescent="0.25">
      <c r="B391" s="577"/>
      <c r="C391" s="268"/>
      <c r="D391" s="89"/>
      <c r="E391" s="89"/>
      <c r="F391" s="89"/>
      <c r="G391" s="89"/>
      <c r="H391" s="260"/>
    </row>
    <row r="392" spans="2:8" ht="15" customHeight="1" x14ac:dyDescent="0.25">
      <c r="B392" s="577" t="s">
        <v>93</v>
      </c>
      <c r="C392" s="268">
        <v>53800</v>
      </c>
      <c r="D392" s="89">
        <v>398060</v>
      </c>
      <c r="E392" s="89"/>
      <c r="F392" s="89"/>
      <c r="G392" s="89">
        <v>2414.5</v>
      </c>
      <c r="H392" s="261">
        <f>+C392+D392+E392+F392+G392</f>
        <v>454274.5</v>
      </c>
    </row>
    <row r="393" spans="2:8" ht="15" customHeight="1" x14ac:dyDescent="0.25">
      <c r="B393" s="577" t="s">
        <v>94</v>
      </c>
      <c r="C393" s="268">
        <v>55900</v>
      </c>
      <c r="D393" s="89">
        <v>194580</v>
      </c>
      <c r="E393" s="89"/>
      <c r="F393" s="89"/>
      <c r="G393" s="89">
        <v>1699</v>
      </c>
      <c r="H393" s="261">
        <f>+C393+D393+E393+F393+G393</f>
        <v>252179</v>
      </c>
    </row>
    <row r="394" spans="2:8" ht="15" customHeight="1" x14ac:dyDescent="0.25">
      <c r="B394" s="577" t="s">
        <v>101</v>
      </c>
      <c r="C394" s="268">
        <v>49000</v>
      </c>
      <c r="D394" s="89">
        <v>109486</v>
      </c>
      <c r="E394" s="89"/>
      <c r="F394" s="89"/>
      <c r="G394" s="89">
        <v>1103.5</v>
      </c>
      <c r="H394" s="261">
        <f>+C394+D394+E394+F394+G394</f>
        <v>159589.5</v>
      </c>
    </row>
    <row r="395" spans="2:8" ht="15" customHeight="1" x14ac:dyDescent="0.25">
      <c r="B395" s="570" t="s">
        <v>140</v>
      </c>
      <c r="C395" s="269">
        <f>SUM(C392:C394)</f>
        <v>158700</v>
      </c>
      <c r="D395" s="86">
        <f>SUM(D392:D394)</f>
        <v>702126</v>
      </c>
      <c r="E395" s="86">
        <f>SUM(E392:E394)</f>
        <v>0</v>
      </c>
      <c r="F395" s="86">
        <f>SUM(F392:F394)</f>
        <v>0</v>
      </c>
      <c r="G395" s="86">
        <f>SUM(G392:G394)</f>
        <v>5217</v>
      </c>
      <c r="H395" s="86">
        <f>+C395+D395+E395+F395+G395</f>
        <v>866043</v>
      </c>
    </row>
    <row r="396" spans="2:8" ht="15" customHeight="1" x14ac:dyDescent="0.25">
      <c r="B396" s="577"/>
      <c r="C396" s="268"/>
      <c r="D396" s="89"/>
      <c r="E396" s="89"/>
      <c r="F396" s="89"/>
      <c r="G396" s="89"/>
      <c r="H396" s="260"/>
    </row>
    <row r="397" spans="2:8" ht="15" customHeight="1" x14ac:dyDescent="0.25">
      <c r="B397" s="577" t="s">
        <v>95</v>
      </c>
      <c r="C397" s="268">
        <v>63500</v>
      </c>
      <c r="D397" s="89">
        <v>416293</v>
      </c>
      <c r="E397" s="89"/>
      <c r="F397" s="89">
        <v>1000</v>
      </c>
      <c r="G397" s="89">
        <v>2646.81</v>
      </c>
      <c r="H397" s="261">
        <f>+C397+D397+E397+F397+G397</f>
        <v>483439.81</v>
      </c>
    </row>
    <row r="398" spans="2:8" ht="15" customHeight="1" x14ac:dyDescent="0.25">
      <c r="B398" s="577" t="s">
        <v>96</v>
      </c>
      <c r="C398" s="268">
        <v>46500</v>
      </c>
      <c r="D398" s="89">
        <v>150548</v>
      </c>
      <c r="E398" s="89"/>
      <c r="F398" s="89"/>
      <c r="G398" s="89">
        <v>1388</v>
      </c>
      <c r="H398" s="261">
        <f>+C398+D398+E398+F398+G398</f>
        <v>198436</v>
      </c>
    </row>
    <row r="399" spans="2:8" ht="15" customHeight="1" x14ac:dyDescent="0.25">
      <c r="B399" s="577" t="s">
        <v>97</v>
      </c>
      <c r="C399" s="268">
        <v>39400</v>
      </c>
      <c r="D399" s="89">
        <v>139201</v>
      </c>
      <c r="E399" s="89"/>
      <c r="F399" s="89"/>
      <c r="G399" s="89">
        <v>1153.5</v>
      </c>
      <c r="H399" s="261">
        <f>+C399+D399+E399+F399+G399</f>
        <v>179754.5</v>
      </c>
    </row>
    <row r="400" spans="2:8" ht="15" customHeight="1" x14ac:dyDescent="0.25">
      <c r="B400" s="570" t="s">
        <v>141</v>
      </c>
      <c r="C400" s="269">
        <f>SUM(C397:C399)</f>
        <v>149400</v>
      </c>
      <c r="D400" s="86">
        <f>SUM(D397:D399)</f>
        <v>706042</v>
      </c>
      <c r="E400" s="86">
        <f>SUM(E397:E399)</f>
        <v>0</v>
      </c>
      <c r="F400" s="86">
        <f>SUM(F397:F399)</f>
        <v>1000</v>
      </c>
      <c r="G400" s="86">
        <f>SUM(G397:G399)</f>
        <v>5188.3099999999995</v>
      </c>
      <c r="H400" s="86">
        <f>+C400+D400+E400+F400+G400</f>
        <v>861630.31</v>
      </c>
    </row>
    <row r="401" spans="2:9" ht="15" customHeight="1" thickBot="1" x14ac:dyDescent="0.3">
      <c r="B401" s="593"/>
      <c r="C401" s="266"/>
      <c r="D401" s="87"/>
      <c r="E401" s="87"/>
      <c r="F401" s="87"/>
      <c r="G401" s="87"/>
      <c r="H401" s="327"/>
    </row>
    <row r="402" spans="2:9" ht="15" customHeight="1" x14ac:dyDescent="0.25">
      <c r="B402" s="14" t="s">
        <v>219</v>
      </c>
    </row>
    <row r="404" spans="2:9" ht="15" customHeight="1" x14ac:dyDescent="0.25">
      <c r="B404" s="864" t="s">
        <v>190</v>
      </c>
      <c r="C404" s="864"/>
      <c r="D404" s="864"/>
      <c r="E404" s="864"/>
      <c r="F404" s="864"/>
      <c r="G404" s="864"/>
      <c r="H404" s="864"/>
      <c r="I404" s="864"/>
    </row>
    <row r="405" spans="2:9" ht="15" customHeight="1" x14ac:dyDescent="0.25">
      <c r="B405" s="864" t="s">
        <v>137</v>
      </c>
      <c r="C405" s="864"/>
      <c r="D405" s="864"/>
      <c r="E405" s="864"/>
      <c r="F405" s="864"/>
      <c r="G405" s="864"/>
      <c r="H405" s="864"/>
      <c r="I405" s="864"/>
    </row>
    <row r="406" spans="2:9" ht="15" customHeight="1" x14ac:dyDescent="0.25">
      <c r="B406" s="864">
        <v>2008</v>
      </c>
      <c r="C406" s="864"/>
      <c r="D406" s="864"/>
      <c r="E406" s="864"/>
      <c r="F406" s="864"/>
      <c r="G406" s="864"/>
      <c r="H406" s="864"/>
      <c r="I406" s="864"/>
    </row>
    <row r="407" spans="2:9" ht="15" customHeight="1" thickBot="1" x14ac:dyDescent="0.3">
      <c r="B407" s="929" t="s">
        <v>135</v>
      </c>
      <c r="C407" s="929"/>
      <c r="D407" s="929"/>
      <c r="E407" s="929"/>
      <c r="F407" s="929"/>
      <c r="G407" s="929"/>
      <c r="H407" s="929"/>
      <c r="I407" s="929"/>
    </row>
    <row r="408" spans="2:9" ht="24.9" customHeight="1" thickBot="1" x14ac:dyDescent="0.3">
      <c r="B408" s="594" t="s">
        <v>100</v>
      </c>
      <c r="C408" s="595" t="s">
        <v>52</v>
      </c>
      <c r="D408" s="595" t="s">
        <v>123</v>
      </c>
      <c r="E408" s="595" t="s">
        <v>79</v>
      </c>
      <c r="F408" s="595" t="s">
        <v>181</v>
      </c>
      <c r="G408" s="595" t="s">
        <v>131</v>
      </c>
      <c r="H408" s="595" t="s">
        <v>84</v>
      </c>
      <c r="I408" s="595" t="s">
        <v>78</v>
      </c>
    </row>
    <row r="409" spans="2:9" ht="15" customHeight="1" x14ac:dyDescent="0.25">
      <c r="B409" s="574"/>
      <c r="C409" s="264"/>
      <c r="D409" s="85"/>
      <c r="E409" s="305"/>
      <c r="F409" s="305"/>
      <c r="G409" s="305"/>
      <c r="H409" s="305"/>
      <c r="I409" s="257"/>
    </row>
    <row r="410" spans="2:9" ht="15" customHeight="1" x14ac:dyDescent="0.25">
      <c r="B410" s="570" t="s">
        <v>103</v>
      </c>
      <c r="C410" s="265">
        <f t="shared" ref="C410:I410" si="57">+C416+C421+C426+C431</f>
        <v>761808</v>
      </c>
      <c r="D410" s="86">
        <f t="shared" si="57"/>
        <v>3227177</v>
      </c>
      <c r="E410" s="86">
        <f t="shared" si="57"/>
        <v>0</v>
      </c>
      <c r="F410" s="86">
        <f t="shared" si="57"/>
        <v>1078000</v>
      </c>
      <c r="G410" s="86">
        <f t="shared" si="57"/>
        <v>11980</v>
      </c>
      <c r="H410" s="86">
        <f t="shared" si="57"/>
        <v>26803.690000000002</v>
      </c>
      <c r="I410" s="86">
        <f t="shared" si="57"/>
        <v>5105768.6899999995</v>
      </c>
    </row>
    <row r="411" spans="2:9" ht="15" customHeight="1" thickBot="1" x14ac:dyDescent="0.3">
      <c r="B411" s="593"/>
      <c r="C411" s="266"/>
      <c r="D411" s="87"/>
      <c r="E411" s="306"/>
      <c r="F411" s="306"/>
      <c r="G411" s="306"/>
      <c r="H411" s="306"/>
      <c r="I411" s="259"/>
    </row>
    <row r="412" spans="2:9" ht="15" customHeight="1" x14ac:dyDescent="0.25">
      <c r="B412" s="579"/>
      <c r="C412" s="267"/>
      <c r="D412" s="88"/>
      <c r="E412" s="307"/>
      <c r="F412" s="307"/>
      <c r="G412" s="307"/>
      <c r="H412" s="307"/>
      <c r="I412" s="258"/>
    </row>
    <row r="413" spans="2:9" ht="15" customHeight="1" x14ac:dyDescent="0.25">
      <c r="B413" s="577" t="s">
        <v>86</v>
      </c>
      <c r="C413" s="268">
        <v>71190</v>
      </c>
      <c r="D413" s="89">
        <v>253431</v>
      </c>
      <c r="E413" s="89"/>
      <c r="F413" s="89"/>
      <c r="G413" s="89">
        <v>480</v>
      </c>
      <c r="H413" s="89">
        <f>900+85+66</f>
        <v>1051</v>
      </c>
      <c r="I413" s="261">
        <f>+C413+D413+E413+F413+G413+H413</f>
        <v>326152</v>
      </c>
    </row>
    <row r="414" spans="2:9" ht="15" customHeight="1" x14ac:dyDescent="0.25">
      <c r="B414" s="577" t="s">
        <v>87</v>
      </c>
      <c r="C414" s="268">
        <v>63060</v>
      </c>
      <c r="D414" s="89">
        <v>110132</v>
      </c>
      <c r="E414" s="89"/>
      <c r="F414" s="89"/>
      <c r="G414" s="89">
        <v>3850</v>
      </c>
      <c r="H414" s="89">
        <f>617+65+3</f>
        <v>685</v>
      </c>
      <c r="I414" s="261">
        <f>+C414+D414+E414+F414+G414+H414</f>
        <v>177727</v>
      </c>
    </row>
    <row r="415" spans="2:9" ht="15" customHeight="1" x14ac:dyDescent="0.25">
      <c r="B415" s="577" t="s">
        <v>88</v>
      </c>
      <c r="C415" s="268">
        <v>64380</v>
      </c>
      <c r="D415" s="89">
        <v>287505</v>
      </c>
      <c r="E415" s="89"/>
      <c r="F415" s="89"/>
      <c r="G415" s="89"/>
      <c r="H415" s="89">
        <f>1275.25+955+223</f>
        <v>2453.25</v>
      </c>
      <c r="I415" s="261">
        <f>+C415+D415+E415+F415+G415+H415</f>
        <v>354338.25</v>
      </c>
    </row>
    <row r="416" spans="2:9" ht="15" customHeight="1" x14ac:dyDescent="0.25">
      <c r="B416" s="570" t="s">
        <v>138</v>
      </c>
      <c r="C416" s="269">
        <f t="shared" ref="C416:H416" si="58">SUM(C413:C415)</f>
        <v>198630</v>
      </c>
      <c r="D416" s="86">
        <f t="shared" si="58"/>
        <v>651068</v>
      </c>
      <c r="E416" s="86">
        <f t="shared" si="58"/>
        <v>0</v>
      </c>
      <c r="F416" s="86">
        <f t="shared" si="58"/>
        <v>0</v>
      </c>
      <c r="G416" s="86">
        <f t="shared" si="58"/>
        <v>4330</v>
      </c>
      <c r="H416" s="86">
        <f t="shared" si="58"/>
        <v>4189.25</v>
      </c>
      <c r="I416" s="86">
        <f>+C416+D416+E416+F416+G416+H416</f>
        <v>858217.25</v>
      </c>
    </row>
    <row r="417" spans="2:9" ht="15" customHeight="1" x14ac:dyDescent="0.25">
      <c r="B417" s="577"/>
      <c r="C417" s="268"/>
      <c r="D417" s="89"/>
      <c r="E417" s="89"/>
      <c r="F417" s="89"/>
      <c r="G417" s="89"/>
      <c r="H417" s="89"/>
      <c r="I417" s="260"/>
    </row>
    <row r="418" spans="2:9" ht="15" customHeight="1" x14ac:dyDescent="0.25">
      <c r="B418" s="577" t="s">
        <v>89</v>
      </c>
      <c r="C418" s="268">
        <v>68380</v>
      </c>
      <c r="D418" s="89">
        <v>412413</v>
      </c>
      <c r="E418" s="89"/>
      <c r="F418" s="89"/>
      <c r="G418" s="89"/>
      <c r="H418" s="89">
        <f>3604+513+105</f>
        <v>4222</v>
      </c>
      <c r="I418" s="261">
        <f>+C418+D418+E418+F418+G418+H418</f>
        <v>485015</v>
      </c>
    </row>
    <row r="419" spans="2:9" ht="15" customHeight="1" x14ac:dyDescent="0.25">
      <c r="B419" s="577" t="s">
        <v>90</v>
      </c>
      <c r="C419" s="268">
        <v>56900</v>
      </c>
      <c r="D419" s="89">
        <v>323037</v>
      </c>
      <c r="E419" s="89"/>
      <c r="F419" s="89">
        <v>341000</v>
      </c>
      <c r="G419" s="89">
        <v>2850</v>
      </c>
      <c r="H419" s="89">
        <f>2833+377+51</f>
        <v>3261</v>
      </c>
      <c r="I419" s="261">
        <f>+C419+D419+E419+F419+G419+H419</f>
        <v>727048</v>
      </c>
    </row>
    <row r="420" spans="2:9" ht="15" customHeight="1" x14ac:dyDescent="0.25">
      <c r="B420" s="577" t="s">
        <v>91</v>
      </c>
      <c r="C420" s="268">
        <v>50500</v>
      </c>
      <c r="D420" s="89">
        <v>227779</v>
      </c>
      <c r="E420" s="89"/>
      <c r="F420" s="89">
        <v>242000</v>
      </c>
      <c r="G420" s="89"/>
      <c r="H420" s="89">
        <f>2067+210</f>
        <v>2277</v>
      </c>
      <c r="I420" s="261">
        <f>+C420+D420+E420+F420+G420+H420</f>
        <v>522556</v>
      </c>
    </row>
    <row r="421" spans="2:9" ht="15" customHeight="1" x14ac:dyDescent="0.25">
      <c r="B421" s="570" t="s">
        <v>139</v>
      </c>
      <c r="C421" s="269">
        <f t="shared" ref="C421:H421" si="59">SUM(C418:C420)</f>
        <v>175780</v>
      </c>
      <c r="D421" s="86">
        <f t="shared" si="59"/>
        <v>963229</v>
      </c>
      <c r="E421" s="86">
        <f t="shared" si="59"/>
        <v>0</v>
      </c>
      <c r="F421" s="86">
        <f t="shared" si="59"/>
        <v>583000</v>
      </c>
      <c r="G421" s="86">
        <f t="shared" si="59"/>
        <v>2850</v>
      </c>
      <c r="H421" s="86">
        <f t="shared" si="59"/>
        <v>9760</v>
      </c>
      <c r="I421" s="86">
        <f>+C421+D421+E421+F421+G421+H421</f>
        <v>1734619</v>
      </c>
    </row>
    <row r="422" spans="2:9" ht="15" customHeight="1" x14ac:dyDescent="0.25">
      <c r="B422" s="577"/>
      <c r="C422" s="268"/>
      <c r="D422" s="89"/>
      <c r="E422" s="89"/>
      <c r="F422" s="89"/>
      <c r="G422" s="89"/>
      <c r="H422" s="89"/>
      <c r="I422" s="260"/>
    </row>
    <row r="423" spans="2:9" ht="15" customHeight="1" x14ac:dyDescent="0.25">
      <c r="B423" s="577" t="s">
        <v>93</v>
      </c>
      <c r="C423" s="268">
        <v>67530</v>
      </c>
      <c r="D423" s="89">
        <v>303113</v>
      </c>
      <c r="E423" s="89"/>
      <c r="F423" s="89">
        <v>228000</v>
      </c>
      <c r="G423" s="89"/>
      <c r="H423" s="89">
        <f>1958+990+4</f>
        <v>2952</v>
      </c>
      <c r="I423" s="261">
        <f>+C423+D423+E423+F423+G423+H423</f>
        <v>601595</v>
      </c>
    </row>
    <row r="424" spans="2:9" ht="15" customHeight="1" x14ac:dyDescent="0.25">
      <c r="B424" s="577" t="s">
        <v>94</v>
      </c>
      <c r="C424" s="268">
        <v>75530</v>
      </c>
      <c r="D424" s="89">
        <v>198493</v>
      </c>
      <c r="E424" s="89"/>
      <c r="F424" s="89">
        <v>131000</v>
      </c>
      <c r="G424" s="89">
        <v>2900</v>
      </c>
      <c r="H424" s="89">
        <f>2274+475+6</f>
        <v>2755</v>
      </c>
      <c r="I424" s="261">
        <f>+C424+D424+E424+F424+G424+H424</f>
        <v>410678</v>
      </c>
    </row>
    <row r="425" spans="2:9" ht="15" customHeight="1" x14ac:dyDescent="0.25">
      <c r="B425" s="577" t="s">
        <v>101</v>
      </c>
      <c r="C425" s="268">
        <v>72100</v>
      </c>
      <c r="D425" s="89">
        <v>102285</v>
      </c>
      <c r="E425" s="89"/>
      <c r="F425" s="89">
        <v>112000</v>
      </c>
      <c r="G425" s="89"/>
      <c r="H425" s="89">
        <f>1431.94+130+9.5</f>
        <v>1571.44</v>
      </c>
      <c r="I425" s="261">
        <f>+C425+D425+E425+F425+G425+H425</f>
        <v>287956.44</v>
      </c>
    </row>
    <row r="426" spans="2:9" ht="15" customHeight="1" x14ac:dyDescent="0.25">
      <c r="B426" s="570" t="s">
        <v>140</v>
      </c>
      <c r="C426" s="269">
        <f t="shared" ref="C426:H426" si="60">SUM(C423:C425)</f>
        <v>215160</v>
      </c>
      <c r="D426" s="86">
        <f t="shared" si="60"/>
        <v>603891</v>
      </c>
      <c r="E426" s="86">
        <f t="shared" si="60"/>
        <v>0</v>
      </c>
      <c r="F426" s="86">
        <f t="shared" si="60"/>
        <v>471000</v>
      </c>
      <c r="G426" s="86">
        <f t="shared" si="60"/>
        <v>2900</v>
      </c>
      <c r="H426" s="86">
        <f t="shared" si="60"/>
        <v>7278.4400000000005</v>
      </c>
      <c r="I426" s="86">
        <f>+C426+D426+E426+F426+G426+H426</f>
        <v>1300229.44</v>
      </c>
    </row>
    <row r="427" spans="2:9" ht="15" customHeight="1" x14ac:dyDescent="0.25">
      <c r="B427" s="577"/>
      <c r="C427" s="268"/>
      <c r="D427" s="89"/>
      <c r="E427" s="89"/>
      <c r="F427" s="89"/>
      <c r="G427" s="89"/>
      <c r="H427" s="89"/>
      <c r="I427" s="260"/>
    </row>
    <row r="428" spans="2:9" ht="15" customHeight="1" x14ac:dyDescent="0.25">
      <c r="B428" s="577" t="s">
        <v>95</v>
      </c>
      <c r="C428" s="268">
        <v>80050</v>
      </c>
      <c r="D428" s="89">
        <v>343593</v>
      </c>
      <c r="E428" s="89"/>
      <c r="F428" s="89">
        <v>24000</v>
      </c>
      <c r="G428" s="89">
        <v>1900</v>
      </c>
      <c r="H428" s="89">
        <f>1440+2327+76</f>
        <v>3843</v>
      </c>
      <c r="I428" s="261">
        <f>+C428+D428+E428+F428+G428+H428</f>
        <v>453386</v>
      </c>
    </row>
    <row r="429" spans="2:9" ht="15" customHeight="1" x14ac:dyDescent="0.25">
      <c r="B429" s="577" t="s">
        <v>96</v>
      </c>
      <c r="C429" s="268">
        <v>39360</v>
      </c>
      <c r="D429" s="89">
        <v>305389</v>
      </c>
      <c r="E429" s="89"/>
      <c r="F429" s="89"/>
      <c r="G429" s="89"/>
      <c r="H429" s="89">
        <v>1234</v>
      </c>
      <c r="I429" s="261">
        <f>+C429+D429+E429+F429+G429+H429</f>
        <v>345983</v>
      </c>
    </row>
    <row r="430" spans="2:9" ht="15" customHeight="1" x14ac:dyDescent="0.25">
      <c r="B430" s="577" t="s">
        <v>97</v>
      </c>
      <c r="C430" s="268">
        <v>52828</v>
      </c>
      <c r="D430" s="89">
        <v>360007</v>
      </c>
      <c r="E430" s="89"/>
      <c r="F430" s="89"/>
      <c r="G430" s="89"/>
      <c r="H430" s="89">
        <v>499</v>
      </c>
      <c r="I430" s="261">
        <f>+C430+D430+E430+F430+G430+H430</f>
        <v>413334</v>
      </c>
    </row>
    <row r="431" spans="2:9" ht="15" customHeight="1" x14ac:dyDescent="0.25">
      <c r="B431" s="570" t="s">
        <v>141</v>
      </c>
      <c r="C431" s="269">
        <f t="shared" ref="C431:H431" si="61">SUM(C428:C430)</f>
        <v>172238</v>
      </c>
      <c r="D431" s="86">
        <f t="shared" si="61"/>
        <v>1008989</v>
      </c>
      <c r="E431" s="86">
        <f t="shared" si="61"/>
        <v>0</v>
      </c>
      <c r="F431" s="86">
        <f t="shared" si="61"/>
        <v>24000</v>
      </c>
      <c r="G431" s="86">
        <f t="shared" si="61"/>
        <v>1900</v>
      </c>
      <c r="H431" s="86">
        <f t="shared" si="61"/>
        <v>5576</v>
      </c>
      <c r="I431" s="86">
        <f>+C431+D431+E431+F431+G431+H431</f>
        <v>1212703</v>
      </c>
    </row>
    <row r="432" spans="2:9" ht="15" customHeight="1" thickBot="1" x14ac:dyDescent="0.3">
      <c r="B432" s="593"/>
      <c r="C432" s="266"/>
      <c r="D432" s="87"/>
      <c r="E432" s="87"/>
      <c r="F432" s="87"/>
      <c r="G432" s="87"/>
      <c r="H432" s="87"/>
      <c r="I432" s="327"/>
    </row>
    <row r="433" spans="2:9" ht="15" customHeight="1" x14ac:dyDescent="0.25">
      <c r="B433" s="14" t="s">
        <v>23</v>
      </c>
      <c r="C433" s="14"/>
      <c r="D433" s="14"/>
      <c r="E433" s="6"/>
      <c r="F433" s="6"/>
      <c r="G433" s="6"/>
      <c r="H433" s="6"/>
      <c r="I433" s="6"/>
    </row>
    <row r="435" spans="2:9" ht="15" customHeight="1" x14ac:dyDescent="0.25">
      <c r="B435" s="864" t="s">
        <v>190</v>
      </c>
      <c r="C435" s="864"/>
      <c r="D435" s="864"/>
      <c r="E435" s="864"/>
      <c r="F435" s="864"/>
      <c r="G435" s="864"/>
      <c r="H435" s="864"/>
      <c r="I435" s="864"/>
    </row>
    <row r="436" spans="2:9" ht="15" customHeight="1" x14ac:dyDescent="0.25">
      <c r="B436" s="864" t="s">
        <v>137</v>
      </c>
      <c r="C436" s="864"/>
      <c r="D436" s="864"/>
      <c r="E436" s="864"/>
      <c r="F436" s="864"/>
      <c r="G436" s="864"/>
      <c r="H436" s="864"/>
      <c r="I436" s="864"/>
    </row>
    <row r="437" spans="2:9" ht="15" customHeight="1" x14ac:dyDescent="0.25">
      <c r="B437" s="864">
        <v>2007</v>
      </c>
      <c r="C437" s="864"/>
      <c r="D437" s="864"/>
      <c r="E437" s="864"/>
      <c r="F437" s="864"/>
      <c r="G437" s="864"/>
      <c r="H437" s="864"/>
      <c r="I437" s="864"/>
    </row>
    <row r="438" spans="2:9" ht="15" customHeight="1" thickBot="1" x14ac:dyDescent="0.3">
      <c r="B438" s="929" t="s">
        <v>135</v>
      </c>
      <c r="C438" s="929"/>
      <c r="D438" s="929"/>
      <c r="E438" s="929"/>
      <c r="F438" s="929"/>
      <c r="G438" s="929"/>
      <c r="H438" s="929"/>
      <c r="I438" s="929"/>
    </row>
    <row r="439" spans="2:9" ht="24.9" customHeight="1" thickBot="1" x14ac:dyDescent="0.3">
      <c r="B439" s="594" t="s">
        <v>100</v>
      </c>
      <c r="C439" s="595" t="s">
        <v>52</v>
      </c>
      <c r="D439" s="595" t="s">
        <v>123</v>
      </c>
      <c r="E439" s="595" t="s">
        <v>79</v>
      </c>
      <c r="F439" s="595" t="s">
        <v>181</v>
      </c>
      <c r="G439" s="595" t="s">
        <v>131</v>
      </c>
      <c r="H439" s="595" t="s">
        <v>84</v>
      </c>
      <c r="I439" s="595" t="s">
        <v>78</v>
      </c>
    </row>
    <row r="440" spans="2:9" ht="15" customHeight="1" x14ac:dyDescent="0.25">
      <c r="B440" s="574"/>
      <c r="C440" s="264"/>
      <c r="D440" s="85"/>
      <c r="E440" s="305"/>
      <c r="F440" s="305"/>
      <c r="G440" s="305"/>
      <c r="H440" s="305"/>
      <c r="I440" s="257"/>
    </row>
    <row r="441" spans="2:9" ht="15" customHeight="1" x14ac:dyDescent="0.25">
      <c r="B441" s="570" t="s">
        <v>103</v>
      </c>
      <c r="C441" s="265">
        <f t="shared" ref="C441:I441" si="62">+C447+C452+C457+C462</f>
        <v>777070</v>
      </c>
      <c r="D441" s="86">
        <f t="shared" si="62"/>
        <v>3307264</v>
      </c>
      <c r="E441" s="86">
        <f t="shared" si="62"/>
        <v>0</v>
      </c>
      <c r="F441" s="86">
        <f t="shared" si="62"/>
        <v>0</v>
      </c>
      <c r="G441" s="86">
        <f t="shared" si="62"/>
        <v>23230</v>
      </c>
      <c r="H441" s="86">
        <f t="shared" si="62"/>
        <v>228903</v>
      </c>
      <c r="I441" s="86">
        <f t="shared" si="62"/>
        <v>4336467</v>
      </c>
    </row>
    <row r="442" spans="2:9" ht="15" customHeight="1" thickBot="1" x14ac:dyDescent="0.3">
      <c r="B442" s="593"/>
      <c r="C442" s="266"/>
      <c r="D442" s="87"/>
      <c r="E442" s="306"/>
      <c r="F442" s="306"/>
      <c r="G442" s="306"/>
      <c r="H442" s="306"/>
      <c r="I442" s="259"/>
    </row>
    <row r="443" spans="2:9" ht="15" customHeight="1" x14ac:dyDescent="0.25">
      <c r="B443" s="579"/>
      <c r="C443" s="267"/>
      <c r="D443" s="88"/>
      <c r="E443" s="307"/>
      <c r="F443" s="307"/>
      <c r="G443" s="307"/>
      <c r="H443" s="307"/>
      <c r="I443" s="258"/>
    </row>
    <row r="444" spans="2:9" ht="15" customHeight="1" x14ac:dyDescent="0.25">
      <c r="B444" s="577" t="s">
        <v>86</v>
      </c>
      <c r="C444" s="268">
        <v>77200</v>
      </c>
      <c r="D444" s="89">
        <v>176909</v>
      </c>
      <c r="E444" s="89"/>
      <c r="F444" s="89"/>
      <c r="G444" s="89">
        <v>4000</v>
      </c>
      <c r="H444" s="89">
        <f>7415-4000</f>
        <v>3415</v>
      </c>
      <c r="I444" s="261">
        <f>+C444+D444+E444+F444+G444+H444</f>
        <v>261524</v>
      </c>
    </row>
    <row r="445" spans="2:9" ht="15" customHeight="1" x14ac:dyDescent="0.25">
      <c r="B445" s="577" t="s">
        <v>87</v>
      </c>
      <c r="C445" s="268">
        <v>70250</v>
      </c>
      <c r="D445" s="89">
        <v>92976</v>
      </c>
      <c r="E445" s="89"/>
      <c r="F445" s="89"/>
      <c r="G445" s="89"/>
      <c r="H445" s="89">
        <v>2715</v>
      </c>
      <c r="I445" s="261">
        <f>+C445+D445+E445+F445+G445+H445</f>
        <v>165941</v>
      </c>
    </row>
    <row r="446" spans="2:9" ht="15" customHeight="1" x14ac:dyDescent="0.25">
      <c r="B446" s="577" t="s">
        <v>88</v>
      </c>
      <c r="C446" s="268">
        <v>82780</v>
      </c>
      <c r="D446" s="89">
        <v>152150</v>
      </c>
      <c r="E446" s="89"/>
      <c r="F446" s="89"/>
      <c r="G446" s="89">
        <v>4400</v>
      </c>
      <c r="H446" s="89">
        <f>10796-4400</f>
        <v>6396</v>
      </c>
      <c r="I446" s="261">
        <f>+C446+D446+E446+F446+G446+H446</f>
        <v>245726</v>
      </c>
    </row>
    <row r="447" spans="2:9" ht="15" customHeight="1" x14ac:dyDescent="0.25">
      <c r="B447" s="570" t="s">
        <v>138</v>
      </c>
      <c r="C447" s="269">
        <f t="shared" ref="C447:H447" si="63">SUM(C444:C446)</f>
        <v>230230</v>
      </c>
      <c r="D447" s="86">
        <f t="shared" si="63"/>
        <v>422035</v>
      </c>
      <c r="E447" s="86">
        <f t="shared" si="63"/>
        <v>0</v>
      </c>
      <c r="F447" s="86">
        <f t="shared" si="63"/>
        <v>0</v>
      </c>
      <c r="G447" s="86">
        <f t="shared" si="63"/>
        <v>8400</v>
      </c>
      <c r="H447" s="86">
        <f t="shared" si="63"/>
        <v>12526</v>
      </c>
      <c r="I447" s="86">
        <f>+C447+D447+E447+F447+G447+H447</f>
        <v>673191</v>
      </c>
    </row>
    <row r="448" spans="2:9" ht="15" customHeight="1" x14ac:dyDescent="0.25">
      <c r="B448" s="577"/>
      <c r="C448" s="268"/>
      <c r="D448" s="89"/>
      <c r="E448" s="89"/>
      <c r="F448" s="89"/>
      <c r="G448" s="89"/>
      <c r="H448" s="89"/>
      <c r="I448" s="260"/>
    </row>
    <row r="449" spans="2:9" ht="15" customHeight="1" x14ac:dyDescent="0.25">
      <c r="B449" s="577" t="s">
        <v>89</v>
      </c>
      <c r="C449" s="268">
        <v>56550</v>
      </c>
      <c r="D449" s="89">
        <v>430807</v>
      </c>
      <c r="E449" s="89"/>
      <c r="F449" s="89"/>
      <c r="G449" s="89">
        <v>500</v>
      </c>
      <c r="H449" s="89">
        <f>10823-500</f>
        <v>10323</v>
      </c>
      <c r="I449" s="261">
        <f>+C449+D449+E449+F449+G449+H449</f>
        <v>498180</v>
      </c>
    </row>
    <row r="450" spans="2:9" ht="15" customHeight="1" x14ac:dyDescent="0.25">
      <c r="B450" s="577" t="s">
        <v>90</v>
      </c>
      <c r="C450" s="268">
        <v>72560</v>
      </c>
      <c r="D450" s="89">
        <v>376997</v>
      </c>
      <c r="E450" s="89"/>
      <c r="F450" s="89"/>
      <c r="G450" s="89">
        <v>2500</v>
      </c>
      <c r="H450" s="89">
        <f>8704-2500</f>
        <v>6204</v>
      </c>
      <c r="I450" s="261">
        <f>+C450+D450+E450+F450+G450+H450</f>
        <v>458261</v>
      </c>
    </row>
    <row r="451" spans="2:9" ht="15" customHeight="1" x14ac:dyDescent="0.25">
      <c r="B451" s="577" t="s">
        <v>91</v>
      </c>
      <c r="C451" s="268">
        <v>64160</v>
      </c>
      <c r="D451" s="89">
        <v>403644</v>
      </c>
      <c r="E451" s="89"/>
      <c r="F451" s="89"/>
      <c r="G451" s="89">
        <v>700</v>
      </c>
      <c r="H451" s="89">
        <f>5065-700</f>
        <v>4365</v>
      </c>
      <c r="I451" s="261">
        <f>+C451+D451+E451+F451+G451+H451</f>
        <v>472869</v>
      </c>
    </row>
    <row r="452" spans="2:9" ht="15" customHeight="1" x14ac:dyDescent="0.25">
      <c r="B452" s="570" t="s">
        <v>139</v>
      </c>
      <c r="C452" s="269">
        <f t="shared" ref="C452:H452" si="64">SUM(C449:C451)</f>
        <v>193270</v>
      </c>
      <c r="D452" s="86">
        <f t="shared" si="64"/>
        <v>1211448</v>
      </c>
      <c r="E452" s="86">
        <f t="shared" si="64"/>
        <v>0</v>
      </c>
      <c r="F452" s="86">
        <f t="shared" si="64"/>
        <v>0</v>
      </c>
      <c r="G452" s="86">
        <f t="shared" si="64"/>
        <v>3700</v>
      </c>
      <c r="H452" s="86">
        <f t="shared" si="64"/>
        <v>20892</v>
      </c>
      <c r="I452" s="86">
        <f>+C452+D452+E452+F452+G452+H452</f>
        <v>1429310</v>
      </c>
    </row>
    <row r="453" spans="2:9" ht="15" customHeight="1" x14ac:dyDescent="0.25">
      <c r="B453" s="577"/>
      <c r="C453" s="268"/>
      <c r="D453" s="89"/>
      <c r="E453" s="89"/>
      <c r="F453" s="89"/>
      <c r="G453" s="89"/>
      <c r="H453" s="89"/>
      <c r="I453" s="260"/>
    </row>
    <row r="454" spans="2:9" ht="15" customHeight="1" x14ac:dyDescent="0.25">
      <c r="B454" s="577" t="s">
        <v>93</v>
      </c>
      <c r="C454" s="268">
        <v>67900</v>
      </c>
      <c r="D454" s="89">
        <v>359021</v>
      </c>
      <c r="E454" s="89"/>
      <c r="F454" s="89"/>
      <c r="G454" s="89">
        <v>500</v>
      </c>
      <c r="H454" s="89">
        <f>176939-500</f>
        <v>176439</v>
      </c>
      <c r="I454" s="261">
        <f>+C454+D454+E454+F454+G454+H454</f>
        <v>603860</v>
      </c>
    </row>
    <row r="455" spans="2:9" ht="15" customHeight="1" x14ac:dyDescent="0.25">
      <c r="B455" s="577" t="s">
        <v>94</v>
      </c>
      <c r="C455" s="268">
        <v>58390</v>
      </c>
      <c r="D455" s="89">
        <v>302028</v>
      </c>
      <c r="E455" s="89"/>
      <c r="F455" s="89"/>
      <c r="G455" s="89">
        <v>3980</v>
      </c>
      <c r="H455" s="89">
        <f>9512-3980</f>
        <v>5532</v>
      </c>
      <c r="I455" s="261">
        <f>+C455+D455+E455+F455+G455+H455</f>
        <v>369930</v>
      </c>
    </row>
    <row r="456" spans="2:9" ht="15" customHeight="1" x14ac:dyDescent="0.25">
      <c r="B456" s="577" t="s">
        <v>101</v>
      </c>
      <c r="C456" s="268">
        <v>54680</v>
      </c>
      <c r="D456" s="89">
        <v>105110</v>
      </c>
      <c r="E456" s="89"/>
      <c r="F456" s="89"/>
      <c r="G456" s="89">
        <v>2300</v>
      </c>
      <c r="H456" s="89">
        <f>6241-2300</f>
        <v>3941</v>
      </c>
      <c r="I456" s="261">
        <f>+C456+D456+E456+F456+G456+H456</f>
        <v>166031</v>
      </c>
    </row>
    <row r="457" spans="2:9" ht="15" customHeight="1" x14ac:dyDescent="0.25">
      <c r="B457" s="570" t="s">
        <v>140</v>
      </c>
      <c r="C457" s="269">
        <f t="shared" ref="C457:H457" si="65">SUM(C454:C456)</f>
        <v>180970</v>
      </c>
      <c r="D457" s="86">
        <f t="shared" si="65"/>
        <v>766159</v>
      </c>
      <c r="E457" s="86">
        <f t="shared" si="65"/>
        <v>0</v>
      </c>
      <c r="F457" s="86">
        <f t="shared" si="65"/>
        <v>0</v>
      </c>
      <c r="G457" s="86">
        <f t="shared" si="65"/>
        <v>6780</v>
      </c>
      <c r="H457" s="86">
        <f t="shared" si="65"/>
        <v>185912</v>
      </c>
      <c r="I457" s="86">
        <f>+C457+D457+E457+F457+G457+H457</f>
        <v>1139821</v>
      </c>
    </row>
    <row r="458" spans="2:9" ht="15" customHeight="1" x14ac:dyDescent="0.25">
      <c r="B458" s="577"/>
      <c r="C458" s="268"/>
      <c r="D458" s="89"/>
      <c r="E458" s="89"/>
      <c r="F458" s="89"/>
      <c r="G458" s="89"/>
      <c r="H458" s="89"/>
      <c r="I458" s="260"/>
    </row>
    <row r="459" spans="2:9" ht="15" customHeight="1" x14ac:dyDescent="0.25">
      <c r="B459" s="577" t="s">
        <v>95</v>
      </c>
      <c r="C459" s="268">
        <v>68300</v>
      </c>
      <c r="D459" s="89">
        <v>413543</v>
      </c>
      <c r="E459" s="89"/>
      <c r="F459" s="89"/>
      <c r="G459" s="89">
        <v>2850</v>
      </c>
      <c r="H459" s="89">
        <f>6982-2850</f>
        <v>4132</v>
      </c>
      <c r="I459" s="261">
        <f>+C459+D459+E459+F459+G459+H459</f>
        <v>488825</v>
      </c>
    </row>
    <row r="460" spans="2:9" ht="15" customHeight="1" x14ac:dyDescent="0.25">
      <c r="B460" s="577" t="s">
        <v>96</v>
      </c>
      <c r="C460" s="268">
        <v>47500</v>
      </c>
      <c r="D460" s="89">
        <v>252819</v>
      </c>
      <c r="E460" s="89"/>
      <c r="F460" s="89"/>
      <c r="G460" s="89">
        <v>1500</v>
      </c>
      <c r="H460" s="89">
        <f>5634-1500</f>
        <v>4134</v>
      </c>
      <c r="I460" s="261">
        <f>+C460+D460+E460+F460+G460+H460</f>
        <v>305953</v>
      </c>
    </row>
    <row r="461" spans="2:9" ht="15" customHeight="1" x14ac:dyDescent="0.25">
      <c r="B461" s="577" t="s">
        <v>97</v>
      </c>
      <c r="C461" s="268">
        <v>56800</v>
      </c>
      <c r="D461" s="89">
        <v>241260</v>
      </c>
      <c r="E461" s="89"/>
      <c r="F461" s="89"/>
      <c r="G461" s="89"/>
      <c r="H461" s="89">
        <v>1307</v>
      </c>
      <c r="I461" s="261">
        <f>+C461+D461+E461+F461+G461+H461</f>
        <v>299367</v>
      </c>
    </row>
    <row r="462" spans="2:9" ht="15" customHeight="1" x14ac:dyDescent="0.25">
      <c r="B462" s="570" t="s">
        <v>141</v>
      </c>
      <c r="C462" s="269">
        <f t="shared" ref="C462:H462" si="66">SUM(C459:C461)</f>
        <v>172600</v>
      </c>
      <c r="D462" s="86">
        <f t="shared" si="66"/>
        <v>907622</v>
      </c>
      <c r="E462" s="86">
        <f t="shared" si="66"/>
        <v>0</v>
      </c>
      <c r="F462" s="86">
        <f t="shared" si="66"/>
        <v>0</v>
      </c>
      <c r="G462" s="86">
        <f t="shared" si="66"/>
        <v>4350</v>
      </c>
      <c r="H462" s="86">
        <f t="shared" si="66"/>
        <v>9573</v>
      </c>
      <c r="I462" s="86">
        <f>+C462+D462+E462+F462+G462+H462</f>
        <v>1094145</v>
      </c>
    </row>
    <row r="463" spans="2:9" ht="15" customHeight="1" thickBot="1" x14ac:dyDescent="0.3">
      <c r="B463" s="593"/>
      <c r="C463" s="266"/>
      <c r="D463" s="87"/>
      <c r="E463" s="87"/>
      <c r="F463" s="87"/>
      <c r="G463" s="87"/>
      <c r="H463" s="87"/>
      <c r="I463" s="327"/>
    </row>
    <row r="464" spans="2:9" ht="15" customHeight="1" x14ac:dyDescent="0.25">
      <c r="B464" s="14" t="s">
        <v>23</v>
      </c>
      <c r="C464" s="14"/>
      <c r="D464" s="14"/>
      <c r="E464" s="6"/>
      <c r="F464" s="6"/>
      <c r="G464" s="6"/>
      <c r="H464" s="6"/>
      <c r="I464" s="6"/>
    </row>
    <row r="465" spans="2:9" ht="15" customHeight="1" x14ac:dyDescent="0.25">
      <c r="B465" s="41"/>
      <c r="C465" s="41"/>
      <c r="D465" s="41"/>
      <c r="E465" s="41"/>
      <c r="F465" s="41"/>
      <c r="G465" s="41"/>
      <c r="H465" s="41"/>
      <c r="I465" s="41"/>
    </row>
    <row r="466" spans="2:9" ht="15" customHeight="1" x14ac:dyDescent="0.25">
      <c r="B466" s="864" t="s">
        <v>137</v>
      </c>
      <c r="C466" s="864"/>
      <c r="D466" s="864"/>
      <c r="E466" s="864"/>
      <c r="F466" s="864"/>
      <c r="G466" s="864"/>
      <c r="H466" s="864"/>
      <c r="I466" s="864"/>
    </row>
    <row r="467" spans="2:9" ht="15" customHeight="1" x14ac:dyDescent="0.25">
      <c r="B467" s="864">
        <v>2006</v>
      </c>
      <c r="C467" s="864"/>
      <c r="D467" s="864"/>
      <c r="E467" s="864"/>
      <c r="F467" s="864"/>
      <c r="G467" s="864"/>
      <c r="H467" s="864"/>
      <c r="I467" s="864"/>
    </row>
    <row r="468" spans="2:9" ht="15" customHeight="1" thickBot="1" x14ac:dyDescent="0.3">
      <c r="B468" s="929" t="s">
        <v>135</v>
      </c>
      <c r="C468" s="929"/>
      <c r="D468" s="929"/>
      <c r="E468" s="929"/>
      <c r="F468" s="929"/>
      <c r="G468" s="929"/>
      <c r="H468" s="929"/>
      <c r="I468" s="929"/>
    </row>
    <row r="469" spans="2:9" ht="24.9" customHeight="1" thickBot="1" x14ac:dyDescent="0.3">
      <c r="B469" s="594" t="s">
        <v>100</v>
      </c>
      <c r="C469" s="595" t="s">
        <v>52</v>
      </c>
      <c r="D469" s="595" t="s">
        <v>123</v>
      </c>
      <c r="E469" s="595" t="s">
        <v>79</v>
      </c>
      <c r="F469" s="595" t="s">
        <v>181</v>
      </c>
      <c r="G469" s="595" t="s">
        <v>131</v>
      </c>
      <c r="H469" s="595" t="s">
        <v>84</v>
      </c>
      <c r="I469" s="595" t="s">
        <v>78</v>
      </c>
    </row>
    <row r="470" spans="2:9" ht="15" customHeight="1" x14ac:dyDescent="0.25">
      <c r="B470" s="574"/>
      <c r="C470" s="264"/>
      <c r="D470" s="85"/>
      <c r="E470" s="305"/>
      <c r="F470" s="305"/>
      <c r="G470" s="305"/>
      <c r="H470" s="305"/>
      <c r="I470" s="257"/>
    </row>
    <row r="471" spans="2:9" ht="15" customHeight="1" x14ac:dyDescent="0.25">
      <c r="B471" s="570" t="s">
        <v>103</v>
      </c>
      <c r="C471" s="265">
        <f t="shared" ref="C471:I471" si="67">+C477+C482+C487+C492</f>
        <v>706485</v>
      </c>
      <c r="D471" s="86">
        <f t="shared" si="67"/>
        <v>3504667</v>
      </c>
      <c r="E471" s="86">
        <f t="shared" si="67"/>
        <v>78324</v>
      </c>
      <c r="F471" s="86">
        <f t="shared" si="67"/>
        <v>670200</v>
      </c>
      <c r="G471" s="86">
        <f t="shared" si="67"/>
        <v>87650</v>
      </c>
      <c r="H471" s="86">
        <f t="shared" si="67"/>
        <v>60848.86</v>
      </c>
      <c r="I471" s="86">
        <f t="shared" si="67"/>
        <v>5108174.8599999994</v>
      </c>
    </row>
    <row r="472" spans="2:9" ht="15" customHeight="1" thickBot="1" x14ac:dyDescent="0.3">
      <c r="B472" s="593"/>
      <c r="C472" s="266"/>
      <c r="D472" s="87"/>
      <c r="E472" s="306"/>
      <c r="F472" s="306"/>
      <c r="G472" s="306"/>
      <c r="H472" s="306"/>
      <c r="I472" s="259"/>
    </row>
    <row r="473" spans="2:9" ht="15" customHeight="1" x14ac:dyDescent="0.25">
      <c r="B473" s="579"/>
      <c r="C473" s="267"/>
      <c r="D473" s="88"/>
      <c r="E473" s="307"/>
      <c r="F473" s="307"/>
      <c r="G473" s="307"/>
      <c r="H473" s="307"/>
      <c r="I473" s="258"/>
    </row>
    <row r="474" spans="2:9" ht="15" customHeight="1" x14ac:dyDescent="0.25">
      <c r="B474" s="577" t="s">
        <v>86</v>
      </c>
      <c r="C474" s="268">
        <v>49700</v>
      </c>
      <c r="D474" s="89">
        <v>243371</v>
      </c>
      <c r="E474" s="89"/>
      <c r="F474" s="89"/>
      <c r="G474" s="89">
        <v>8000</v>
      </c>
      <c r="H474" s="89">
        <f>4600+696+430+77.86</f>
        <v>5803.86</v>
      </c>
      <c r="I474" s="261">
        <f>+C474+D474+E474+F474+G474+H474</f>
        <v>306874.86</v>
      </c>
    </row>
    <row r="475" spans="2:9" ht="15" customHeight="1" x14ac:dyDescent="0.25">
      <c r="B475" s="577" t="s">
        <v>87</v>
      </c>
      <c r="C475" s="268">
        <v>47480</v>
      </c>
      <c r="D475" s="89">
        <v>115894</v>
      </c>
      <c r="E475" s="89">
        <v>5000</v>
      </c>
      <c r="F475" s="89"/>
      <c r="G475" s="89">
        <v>10900</v>
      </c>
      <c r="H475" s="89">
        <f>533+430+117</f>
        <v>1080</v>
      </c>
      <c r="I475" s="261">
        <f>+C475+D475+E475+F475+G475+H475</f>
        <v>180354</v>
      </c>
    </row>
    <row r="476" spans="2:9" ht="15" customHeight="1" x14ac:dyDescent="0.25">
      <c r="B476" s="577" t="s">
        <v>88</v>
      </c>
      <c r="C476" s="268">
        <v>61390</v>
      </c>
      <c r="D476" s="89">
        <v>176910</v>
      </c>
      <c r="E476" s="89">
        <v>53422</v>
      </c>
      <c r="F476" s="89"/>
      <c r="G476" s="89">
        <v>12380</v>
      </c>
      <c r="H476" s="89">
        <f>233+140+19</f>
        <v>392</v>
      </c>
      <c r="I476" s="261">
        <f>+C476+D476+E476+F476+G476+H476</f>
        <v>304494</v>
      </c>
    </row>
    <row r="477" spans="2:9" ht="15" customHeight="1" x14ac:dyDescent="0.25">
      <c r="B477" s="570" t="s">
        <v>138</v>
      </c>
      <c r="C477" s="269">
        <f t="shared" ref="C477:H477" si="68">SUM(C474:C476)</f>
        <v>158570</v>
      </c>
      <c r="D477" s="86">
        <f t="shared" si="68"/>
        <v>536175</v>
      </c>
      <c r="E477" s="86">
        <f t="shared" si="68"/>
        <v>58422</v>
      </c>
      <c r="F477" s="86">
        <f t="shared" si="68"/>
        <v>0</v>
      </c>
      <c r="G477" s="86">
        <f t="shared" si="68"/>
        <v>31280</v>
      </c>
      <c r="H477" s="86">
        <f t="shared" si="68"/>
        <v>7275.86</v>
      </c>
      <c r="I477" s="86">
        <f>+C477+D477+E477+F477+G477+H477</f>
        <v>791722.86</v>
      </c>
    </row>
    <row r="478" spans="2:9" ht="15" customHeight="1" x14ac:dyDescent="0.25">
      <c r="B478" s="577"/>
      <c r="C478" s="268"/>
      <c r="D478" s="89"/>
      <c r="E478" s="89"/>
      <c r="F478" s="89"/>
      <c r="G478" s="89"/>
      <c r="H478" s="89"/>
      <c r="I478" s="260"/>
    </row>
    <row r="479" spans="2:9" ht="15" customHeight="1" x14ac:dyDescent="0.25">
      <c r="B479" s="577" t="s">
        <v>89</v>
      </c>
      <c r="C479" s="268">
        <v>83755</v>
      </c>
      <c r="D479" s="89">
        <v>557277</v>
      </c>
      <c r="E479" s="89">
        <v>13502</v>
      </c>
      <c r="F479" s="89">
        <v>162400</v>
      </c>
      <c r="G479" s="89">
        <v>1980</v>
      </c>
      <c r="H479" s="89">
        <f>3615+2155+151</f>
        <v>5921</v>
      </c>
      <c r="I479" s="261">
        <f>+C479+D479+E479+F479+G479+H479</f>
        <v>824835</v>
      </c>
    </row>
    <row r="480" spans="2:9" ht="15" customHeight="1" x14ac:dyDescent="0.25">
      <c r="B480" s="577" t="s">
        <v>90</v>
      </c>
      <c r="C480" s="268">
        <v>50180</v>
      </c>
      <c r="D480" s="89">
        <v>373035</v>
      </c>
      <c r="E480" s="89">
        <v>6400</v>
      </c>
      <c r="F480" s="89">
        <v>236000</v>
      </c>
      <c r="G480" s="89">
        <v>480</v>
      </c>
      <c r="H480" s="89">
        <f>3470+1085+138</f>
        <v>4693</v>
      </c>
      <c r="I480" s="261">
        <f>+C480+D480+E480+F480+G480+H480</f>
        <v>670788</v>
      </c>
    </row>
    <row r="481" spans="2:9" ht="15" customHeight="1" x14ac:dyDescent="0.25">
      <c r="B481" s="577" t="s">
        <v>91</v>
      </c>
      <c r="C481" s="268">
        <v>58960</v>
      </c>
      <c r="D481" s="89">
        <v>484419</v>
      </c>
      <c r="E481" s="89"/>
      <c r="F481" s="89">
        <v>153400</v>
      </c>
      <c r="G481" s="89">
        <v>6950</v>
      </c>
      <c r="H481" s="89">
        <f>3384+1365+120+8000</f>
        <v>12869</v>
      </c>
      <c r="I481" s="261">
        <f>+C481+D481+E481+F481+G481+H481</f>
        <v>716598</v>
      </c>
    </row>
    <row r="482" spans="2:9" ht="15" customHeight="1" x14ac:dyDescent="0.25">
      <c r="B482" s="570" t="s">
        <v>139</v>
      </c>
      <c r="C482" s="269">
        <f t="shared" ref="C482:H482" si="69">SUM(C479:C481)</f>
        <v>192895</v>
      </c>
      <c r="D482" s="86">
        <f t="shared" si="69"/>
        <v>1414731</v>
      </c>
      <c r="E482" s="86">
        <f t="shared" si="69"/>
        <v>19902</v>
      </c>
      <c r="F482" s="86">
        <f t="shared" si="69"/>
        <v>551800</v>
      </c>
      <c r="G482" s="86">
        <f t="shared" si="69"/>
        <v>9410</v>
      </c>
      <c r="H482" s="86">
        <f t="shared" si="69"/>
        <v>23483</v>
      </c>
      <c r="I482" s="86">
        <f>+C482+D482+E482+F482+G482+H482</f>
        <v>2212221</v>
      </c>
    </row>
    <row r="483" spans="2:9" ht="15" customHeight="1" x14ac:dyDescent="0.25">
      <c r="B483" s="577"/>
      <c r="C483" s="268"/>
      <c r="D483" s="89"/>
      <c r="E483" s="89"/>
      <c r="F483" s="89"/>
      <c r="G483" s="89"/>
      <c r="H483" s="89"/>
      <c r="I483" s="260"/>
    </row>
    <row r="484" spans="2:9" ht="15" customHeight="1" x14ac:dyDescent="0.25">
      <c r="B484" s="577" t="s">
        <v>93</v>
      </c>
      <c r="C484" s="268">
        <v>62180</v>
      </c>
      <c r="D484" s="89">
        <v>418868</v>
      </c>
      <c r="E484" s="89"/>
      <c r="F484" s="89">
        <v>118400</v>
      </c>
      <c r="G484" s="89">
        <v>11230</v>
      </c>
      <c r="H484" s="89">
        <f>3306+460+3000+380</f>
        <v>7146</v>
      </c>
      <c r="I484" s="261">
        <f>+C484+D484+E484+F484+G484+H484</f>
        <v>617824</v>
      </c>
    </row>
    <row r="485" spans="2:9" ht="15" customHeight="1" x14ac:dyDescent="0.25">
      <c r="B485" s="577" t="s">
        <v>94</v>
      </c>
      <c r="C485" s="268">
        <v>53650</v>
      </c>
      <c r="D485" s="89">
        <v>295404</v>
      </c>
      <c r="E485" s="89"/>
      <c r="F485" s="89"/>
      <c r="G485" s="89">
        <v>5000</v>
      </c>
      <c r="H485" s="89">
        <f>4461+2315+98</f>
        <v>6874</v>
      </c>
      <c r="I485" s="261">
        <f>+C485+D485+E485+F485+G485+H485</f>
        <v>360928</v>
      </c>
    </row>
    <row r="486" spans="2:9" ht="15" customHeight="1" x14ac:dyDescent="0.25">
      <c r="B486" s="577" t="s">
        <v>101</v>
      </c>
      <c r="C486" s="268">
        <v>59480</v>
      </c>
      <c r="D486" s="89">
        <v>159036</v>
      </c>
      <c r="E486" s="89"/>
      <c r="F486" s="89"/>
      <c r="G486" s="89">
        <v>8480</v>
      </c>
      <c r="H486" s="89">
        <f>1985+1575+129</f>
        <v>3689</v>
      </c>
      <c r="I486" s="261">
        <f>+C486+D486+E486+F486+G486+H486</f>
        <v>230685</v>
      </c>
    </row>
    <row r="487" spans="2:9" ht="15" customHeight="1" x14ac:dyDescent="0.25">
      <c r="B487" s="570" t="s">
        <v>140</v>
      </c>
      <c r="C487" s="269">
        <f t="shared" ref="C487:H487" si="70">SUM(C484:C486)</f>
        <v>175310</v>
      </c>
      <c r="D487" s="86">
        <f t="shared" si="70"/>
        <v>873308</v>
      </c>
      <c r="E487" s="86">
        <f t="shared" si="70"/>
        <v>0</v>
      </c>
      <c r="F487" s="86">
        <f t="shared" si="70"/>
        <v>118400</v>
      </c>
      <c r="G487" s="86">
        <f t="shared" si="70"/>
        <v>24710</v>
      </c>
      <c r="H487" s="86">
        <f t="shared" si="70"/>
        <v>17709</v>
      </c>
      <c r="I487" s="86">
        <f>+C487+D487+E487+F487+G487+H487</f>
        <v>1209437</v>
      </c>
    </row>
    <row r="488" spans="2:9" ht="15" customHeight="1" x14ac:dyDescent="0.25">
      <c r="B488" s="577"/>
      <c r="C488" s="268"/>
      <c r="D488" s="89"/>
      <c r="E488" s="89"/>
      <c r="F488" s="89"/>
      <c r="G488" s="89"/>
      <c r="H488" s="89"/>
      <c r="I488" s="260"/>
    </row>
    <row r="489" spans="2:9" ht="15" customHeight="1" x14ac:dyDescent="0.25">
      <c r="B489" s="577" t="s">
        <v>95</v>
      </c>
      <c r="C489" s="268">
        <v>53500</v>
      </c>
      <c r="D489" s="89">
        <v>313035</v>
      </c>
      <c r="E489" s="89"/>
      <c r="F489" s="89"/>
      <c r="G489" s="89">
        <v>10750</v>
      </c>
      <c r="H489" s="89">
        <f>4142+2080+390</f>
        <v>6612</v>
      </c>
      <c r="I489" s="261">
        <f>+C489+D489+E489+F489+G489+H489</f>
        <v>383897</v>
      </c>
    </row>
    <row r="490" spans="2:9" ht="15" customHeight="1" x14ac:dyDescent="0.25">
      <c r="B490" s="577" t="s">
        <v>96</v>
      </c>
      <c r="C490" s="268">
        <v>59700</v>
      </c>
      <c r="D490" s="89">
        <v>217617</v>
      </c>
      <c r="E490" s="89"/>
      <c r="F490" s="89"/>
      <c r="G490" s="89">
        <v>5250</v>
      </c>
      <c r="H490" s="89">
        <f>2165+1095+270</f>
        <v>3530</v>
      </c>
      <c r="I490" s="261">
        <f>+C490+D490+E490+F490+G490+H490</f>
        <v>286097</v>
      </c>
    </row>
    <row r="491" spans="2:9" ht="15" customHeight="1" x14ac:dyDescent="0.25">
      <c r="B491" s="577" t="s">
        <v>97</v>
      </c>
      <c r="C491" s="268">
        <v>66510</v>
      </c>
      <c r="D491" s="89">
        <v>149801</v>
      </c>
      <c r="E491" s="89"/>
      <c r="F491" s="89"/>
      <c r="G491" s="89">
        <v>6250</v>
      </c>
      <c r="H491" s="89">
        <f>1999+200+40</f>
        <v>2239</v>
      </c>
      <c r="I491" s="261">
        <f>+C491+D491+E491+F491+G491+H491</f>
        <v>224800</v>
      </c>
    </row>
    <row r="492" spans="2:9" ht="15" customHeight="1" x14ac:dyDescent="0.25">
      <c r="B492" s="570" t="s">
        <v>141</v>
      </c>
      <c r="C492" s="269">
        <f t="shared" ref="C492:H492" si="71">SUM(C489:C491)</f>
        <v>179710</v>
      </c>
      <c r="D492" s="86">
        <f t="shared" si="71"/>
        <v>680453</v>
      </c>
      <c r="E492" s="86">
        <f t="shared" si="71"/>
        <v>0</v>
      </c>
      <c r="F492" s="86">
        <f t="shared" si="71"/>
        <v>0</v>
      </c>
      <c r="G492" s="86">
        <f t="shared" si="71"/>
        <v>22250</v>
      </c>
      <c r="H492" s="86">
        <f t="shared" si="71"/>
        <v>12381</v>
      </c>
      <c r="I492" s="86">
        <f>+C492+D492+E492+F492+G492+H492</f>
        <v>894794</v>
      </c>
    </row>
    <row r="493" spans="2:9" ht="15" customHeight="1" thickBot="1" x14ac:dyDescent="0.3">
      <c r="B493" s="593"/>
      <c r="C493" s="266"/>
      <c r="D493" s="87"/>
      <c r="E493" s="87"/>
      <c r="F493" s="87"/>
      <c r="G493" s="87"/>
      <c r="H493" s="87"/>
      <c r="I493" s="327"/>
    </row>
    <row r="494" spans="2:9" ht="15" customHeight="1" x14ac:dyDescent="0.25">
      <c r="B494" s="14" t="s">
        <v>23</v>
      </c>
      <c r="C494" s="14"/>
      <c r="D494" s="14"/>
      <c r="E494" s="6"/>
      <c r="F494" s="6"/>
      <c r="G494" s="6"/>
      <c r="H494" s="6"/>
      <c r="I494" s="6"/>
    </row>
    <row r="495" spans="2:9" ht="15" customHeight="1" x14ac:dyDescent="0.25">
      <c r="B495" s="14"/>
      <c r="C495" s="14"/>
      <c r="D495" s="14"/>
      <c r="E495" s="6"/>
      <c r="F495" s="6"/>
      <c r="G495" s="6"/>
      <c r="H495" s="6"/>
      <c r="I495" s="6"/>
    </row>
    <row r="496" spans="2:9" ht="15" customHeight="1" x14ac:dyDescent="0.25">
      <c r="B496" s="864" t="s">
        <v>137</v>
      </c>
      <c r="C496" s="864"/>
      <c r="D496" s="864"/>
      <c r="E496" s="864"/>
      <c r="F496" s="864"/>
      <c r="G496" s="864"/>
      <c r="H496" s="864"/>
      <c r="I496" s="864"/>
    </row>
    <row r="497" spans="2:9" ht="15" customHeight="1" x14ac:dyDescent="0.25">
      <c r="B497" s="864">
        <v>2005</v>
      </c>
      <c r="C497" s="864"/>
      <c r="D497" s="864"/>
      <c r="E497" s="864"/>
      <c r="F497" s="864"/>
      <c r="G497" s="864"/>
      <c r="H497" s="864"/>
      <c r="I497" s="864"/>
    </row>
    <row r="498" spans="2:9" ht="15" customHeight="1" thickBot="1" x14ac:dyDescent="0.3">
      <c r="B498" s="929" t="s">
        <v>135</v>
      </c>
      <c r="C498" s="929"/>
      <c r="D498" s="929"/>
      <c r="E498" s="929"/>
      <c r="F498" s="929"/>
      <c r="G498" s="929"/>
      <c r="H498" s="929"/>
      <c r="I498" s="929"/>
    </row>
    <row r="499" spans="2:9" ht="25.5" customHeight="1" thickBot="1" x14ac:dyDescent="0.3">
      <c r="B499" s="594" t="s">
        <v>100</v>
      </c>
      <c r="C499" s="595" t="s">
        <v>52</v>
      </c>
      <c r="D499" s="595" t="s">
        <v>123</v>
      </c>
      <c r="E499" s="595" t="s">
        <v>79</v>
      </c>
      <c r="F499" s="595" t="s">
        <v>181</v>
      </c>
      <c r="G499" s="595" t="s">
        <v>131</v>
      </c>
      <c r="H499" s="595" t="s">
        <v>84</v>
      </c>
      <c r="I499" s="595" t="s">
        <v>78</v>
      </c>
    </row>
    <row r="500" spans="2:9" ht="15" customHeight="1" x14ac:dyDescent="0.25">
      <c r="B500" s="574"/>
      <c r="C500" s="264"/>
      <c r="D500" s="85"/>
      <c r="E500" s="305"/>
      <c r="F500" s="305"/>
      <c r="G500" s="305"/>
      <c r="H500" s="305"/>
      <c r="I500" s="257"/>
    </row>
    <row r="501" spans="2:9" ht="15" customHeight="1" x14ac:dyDescent="0.25">
      <c r="B501" s="570" t="s">
        <v>103</v>
      </c>
      <c r="C501" s="265">
        <f t="shared" ref="C501:I501" si="72">+C507+C512+C517+C522</f>
        <v>1134113</v>
      </c>
      <c r="D501" s="86">
        <f t="shared" si="72"/>
        <v>4942480.2</v>
      </c>
      <c r="E501" s="86">
        <f t="shared" si="72"/>
        <v>14800</v>
      </c>
      <c r="F501" s="86">
        <f t="shared" si="72"/>
        <v>1263200</v>
      </c>
      <c r="G501" s="86">
        <f t="shared" si="72"/>
        <v>175775</v>
      </c>
      <c r="H501" s="86">
        <f t="shared" si="72"/>
        <v>15913</v>
      </c>
      <c r="I501" s="86">
        <f t="shared" si="72"/>
        <v>7546281.2000000002</v>
      </c>
    </row>
    <row r="502" spans="2:9" ht="15" customHeight="1" thickBot="1" x14ac:dyDescent="0.3">
      <c r="B502" s="593"/>
      <c r="C502" s="266"/>
      <c r="D502" s="87"/>
      <c r="E502" s="306"/>
      <c r="F502" s="306"/>
      <c r="G502" s="306"/>
      <c r="H502" s="306"/>
      <c r="I502" s="259"/>
    </row>
    <row r="503" spans="2:9" ht="15" customHeight="1" x14ac:dyDescent="0.25">
      <c r="B503" s="579"/>
      <c r="C503" s="267"/>
      <c r="D503" s="88"/>
      <c r="E503" s="307"/>
      <c r="F503" s="307"/>
      <c r="G503" s="307"/>
      <c r="H503" s="307"/>
      <c r="I503" s="258"/>
    </row>
    <row r="504" spans="2:9" ht="15" customHeight="1" x14ac:dyDescent="0.25">
      <c r="B504" s="577" t="s">
        <v>86</v>
      </c>
      <c r="C504" s="268">
        <v>94050</v>
      </c>
      <c r="D504" s="89">
        <v>209999.2</v>
      </c>
      <c r="E504" s="89"/>
      <c r="F504" s="89"/>
      <c r="G504" s="89">
        <v>16850</v>
      </c>
      <c r="H504" s="89">
        <f>466+22</f>
        <v>488</v>
      </c>
      <c r="I504" s="261">
        <f>+C504+D504+E504+F504+G504+H504</f>
        <v>321387.2</v>
      </c>
    </row>
    <row r="505" spans="2:9" ht="15" customHeight="1" x14ac:dyDescent="0.25">
      <c r="B505" s="577" t="s">
        <v>87</v>
      </c>
      <c r="C505" s="268">
        <v>73850</v>
      </c>
      <c r="D505" s="89">
        <v>215400</v>
      </c>
      <c r="E505" s="89">
        <v>5000</v>
      </c>
      <c r="F505" s="89"/>
      <c r="G505" s="89">
        <v>22050</v>
      </c>
      <c r="H505" s="89">
        <f>963+22</f>
        <v>985</v>
      </c>
      <c r="I505" s="261">
        <f>+C505+D505+E505+F505+G505+H505</f>
        <v>317285</v>
      </c>
    </row>
    <row r="506" spans="2:9" ht="15" customHeight="1" x14ac:dyDescent="0.25">
      <c r="B506" s="577" t="s">
        <v>88</v>
      </c>
      <c r="C506" s="268">
        <v>140700</v>
      </c>
      <c r="D506" s="89">
        <v>306365</v>
      </c>
      <c r="E506" s="89">
        <v>9800</v>
      </c>
      <c r="F506" s="89">
        <v>22200</v>
      </c>
      <c r="G506" s="89">
        <v>25475</v>
      </c>
      <c r="H506" s="89">
        <f>746+2460+61</f>
        <v>3267</v>
      </c>
      <c r="I506" s="261">
        <f>+C506+D506+E506+F506+G506+H506</f>
        <v>507807</v>
      </c>
    </row>
    <row r="507" spans="2:9" ht="15" customHeight="1" x14ac:dyDescent="0.25">
      <c r="B507" s="570" t="s">
        <v>138</v>
      </c>
      <c r="C507" s="269">
        <f t="shared" ref="C507:H507" si="73">SUM(C504:C506)</f>
        <v>308600</v>
      </c>
      <c r="D507" s="86">
        <f t="shared" si="73"/>
        <v>731764.2</v>
      </c>
      <c r="E507" s="86">
        <f t="shared" si="73"/>
        <v>14800</v>
      </c>
      <c r="F507" s="86">
        <f t="shared" si="73"/>
        <v>22200</v>
      </c>
      <c r="G507" s="86">
        <f t="shared" si="73"/>
        <v>64375</v>
      </c>
      <c r="H507" s="86">
        <f t="shared" si="73"/>
        <v>4740</v>
      </c>
      <c r="I507" s="86">
        <f>+C507+D507+E507+F507+G507+H507</f>
        <v>1146479.2</v>
      </c>
    </row>
    <row r="508" spans="2:9" ht="15" customHeight="1" x14ac:dyDescent="0.25">
      <c r="B508" s="577"/>
      <c r="C508" s="268"/>
      <c r="D508" s="89"/>
      <c r="E508" s="89"/>
      <c r="F508" s="89"/>
      <c r="G508" s="89"/>
      <c r="H508" s="89"/>
      <c r="I508" s="260"/>
    </row>
    <row r="509" spans="2:9" ht="15" customHeight="1" x14ac:dyDescent="0.25">
      <c r="B509" s="577" t="s">
        <v>89</v>
      </c>
      <c r="C509" s="268">
        <v>120350</v>
      </c>
      <c r="D509" s="89">
        <v>826090</v>
      </c>
      <c r="E509" s="89"/>
      <c r="F509" s="89">
        <v>402800</v>
      </c>
      <c r="G509" s="89">
        <v>13000</v>
      </c>
      <c r="H509" s="89">
        <f>1295+55+114</f>
        <v>1464</v>
      </c>
      <c r="I509" s="261">
        <f>+C509+D509+E509+F509+G509+H509</f>
        <v>1363704</v>
      </c>
    </row>
    <row r="510" spans="2:9" ht="15" customHeight="1" x14ac:dyDescent="0.25">
      <c r="B510" s="577" t="s">
        <v>90</v>
      </c>
      <c r="C510" s="268">
        <v>144650</v>
      </c>
      <c r="D510" s="89">
        <v>616753</v>
      </c>
      <c r="E510" s="89"/>
      <c r="F510" s="89">
        <v>300800</v>
      </c>
      <c r="G510" s="89">
        <v>18100</v>
      </c>
      <c r="H510" s="89">
        <f>380+160+69</f>
        <v>609</v>
      </c>
      <c r="I510" s="261">
        <f>+C510+D510+E510+F510+G510+H510</f>
        <v>1080912</v>
      </c>
    </row>
    <row r="511" spans="2:9" ht="15" customHeight="1" x14ac:dyDescent="0.25">
      <c r="B511" s="577" t="s">
        <v>91</v>
      </c>
      <c r="C511" s="268">
        <v>117350</v>
      </c>
      <c r="D511" s="89">
        <v>732386</v>
      </c>
      <c r="E511" s="89"/>
      <c r="F511" s="89">
        <v>120600</v>
      </c>
      <c r="G511" s="89">
        <v>13800</v>
      </c>
      <c r="H511" s="89">
        <f>330+1925+47</f>
        <v>2302</v>
      </c>
      <c r="I511" s="261">
        <f>+C511+D511+E511+F511+G511+H511</f>
        <v>986438</v>
      </c>
    </row>
    <row r="512" spans="2:9" ht="15" customHeight="1" x14ac:dyDescent="0.25">
      <c r="B512" s="570" t="s">
        <v>139</v>
      </c>
      <c r="C512" s="269">
        <f t="shared" ref="C512:H512" si="74">SUM(C509:C511)</f>
        <v>382350</v>
      </c>
      <c r="D512" s="86">
        <f t="shared" si="74"/>
        <v>2175229</v>
      </c>
      <c r="E512" s="86">
        <f t="shared" si="74"/>
        <v>0</v>
      </c>
      <c r="F512" s="86">
        <f t="shared" si="74"/>
        <v>824200</v>
      </c>
      <c r="G512" s="86">
        <f t="shared" si="74"/>
        <v>44900</v>
      </c>
      <c r="H512" s="86">
        <f t="shared" si="74"/>
        <v>4375</v>
      </c>
      <c r="I512" s="86">
        <f>+C512+D512+E512+F512+G512+H512</f>
        <v>3431054</v>
      </c>
    </row>
    <row r="513" spans="2:9" ht="15" customHeight="1" x14ac:dyDescent="0.25">
      <c r="B513" s="577"/>
      <c r="C513" s="268"/>
      <c r="D513" s="89"/>
      <c r="E513" s="89"/>
      <c r="F513" s="89"/>
      <c r="G513" s="89"/>
      <c r="H513" s="89"/>
      <c r="I513" s="260"/>
    </row>
    <row r="514" spans="2:9" ht="15" customHeight="1" x14ac:dyDescent="0.25">
      <c r="B514" s="577" t="s">
        <v>93</v>
      </c>
      <c r="C514" s="268">
        <v>130650</v>
      </c>
      <c r="D514" s="89">
        <v>522475</v>
      </c>
      <c r="E514" s="89"/>
      <c r="F514" s="89">
        <v>166600</v>
      </c>
      <c r="G514" s="89">
        <v>10250</v>
      </c>
      <c r="H514" s="89">
        <f>465+285+53</f>
        <v>803</v>
      </c>
      <c r="I514" s="261">
        <f>+C514+D514+E514+F514+G514+H514</f>
        <v>830778</v>
      </c>
    </row>
    <row r="515" spans="2:9" ht="15" customHeight="1" x14ac:dyDescent="0.25">
      <c r="B515" s="577" t="s">
        <v>94</v>
      </c>
      <c r="C515" s="268">
        <v>78500</v>
      </c>
      <c r="D515" s="89">
        <v>537526</v>
      </c>
      <c r="E515" s="89"/>
      <c r="F515" s="89">
        <v>144400</v>
      </c>
      <c r="G515" s="89">
        <v>20100</v>
      </c>
      <c r="H515" s="89">
        <f>235+1950+47</f>
        <v>2232</v>
      </c>
      <c r="I515" s="261">
        <f>+C515+D515+E515+F515+G515+H515</f>
        <v>782758</v>
      </c>
    </row>
    <row r="516" spans="2:9" ht="15" customHeight="1" x14ac:dyDescent="0.25">
      <c r="B516" s="577" t="s">
        <v>101</v>
      </c>
      <c r="C516" s="268">
        <v>61815</v>
      </c>
      <c r="D516" s="89">
        <v>208962</v>
      </c>
      <c r="E516" s="89"/>
      <c r="F516" s="89">
        <v>86800</v>
      </c>
      <c r="G516" s="89">
        <v>9000</v>
      </c>
      <c r="H516" s="89">
        <f>304+385+75</f>
        <v>764</v>
      </c>
      <c r="I516" s="261">
        <f>+C516+D516+E516+F516+G516+H516</f>
        <v>367341</v>
      </c>
    </row>
    <row r="517" spans="2:9" ht="15" customHeight="1" x14ac:dyDescent="0.25">
      <c r="B517" s="570" t="s">
        <v>140</v>
      </c>
      <c r="C517" s="269">
        <f t="shared" ref="C517:H517" si="75">SUM(C514:C516)</f>
        <v>270965</v>
      </c>
      <c r="D517" s="86">
        <f t="shared" si="75"/>
        <v>1268963</v>
      </c>
      <c r="E517" s="86">
        <f t="shared" si="75"/>
        <v>0</v>
      </c>
      <c r="F517" s="86">
        <f t="shared" si="75"/>
        <v>397800</v>
      </c>
      <c r="G517" s="86">
        <f t="shared" si="75"/>
        <v>39350</v>
      </c>
      <c r="H517" s="86">
        <f t="shared" si="75"/>
        <v>3799</v>
      </c>
      <c r="I517" s="86">
        <f>+C517+D517+E517+F517+G517+H517</f>
        <v>1980877</v>
      </c>
    </row>
    <row r="518" spans="2:9" ht="15" customHeight="1" x14ac:dyDescent="0.25">
      <c r="B518" s="577"/>
      <c r="C518" s="268"/>
      <c r="D518" s="89"/>
      <c r="E518" s="89"/>
      <c r="F518" s="89"/>
      <c r="G518" s="89"/>
      <c r="H518" s="89"/>
      <c r="I518" s="260"/>
    </row>
    <row r="519" spans="2:9" ht="15" customHeight="1" x14ac:dyDescent="0.25">
      <c r="B519" s="577" t="s">
        <v>95</v>
      </c>
      <c r="C519" s="268">
        <v>52444</v>
      </c>
      <c r="D519" s="89">
        <v>334350</v>
      </c>
      <c r="E519" s="89"/>
      <c r="F519" s="89">
        <v>19000</v>
      </c>
      <c r="G519" s="89">
        <v>7550</v>
      </c>
      <c r="H519" s="89">
        <f>58+725+4</f>
        <v>787</v>
      </c>
      <c r="I519" s="261">
        <f>+C519+D519+E519+F519+G519+H519</f>
        <v>414131</v>
      </c>
    </row>
    <row r="520" spans="2:9" ht="15" customHeight="1" x14ac:dyDescent="0.25">
      <c r="B520" s="577" t="s">
        <v>96</v>
      </c>
      <c r="C520" s="268">
        <v>48604</v>
      </c>
      <c r="D520" s="89">
        <v>199733</v>
      </c>
      <c r="E520" s="89"/>
      <c r="F520" s="89"/>
      <c r="G520" s="89">
        <v>3100</v>
      </c>
      <c r="H520" s="89">
        <f>235+10+34</f>
        <v>279</v>
      </c>
      <c r="I520" s="261">
        <f>+C520+D520+E520+F520+G520+H520</f>
        <v>251716</v>
      </c>
    </row>
    <row r="521" spans="2:9" ht="15" customHeight="1" x14ac:dyDescent="0.25">
      <c r="B521" s="577" t="s">
        <v>97</v>
      </c>
      <c r="C521" s="268">
        <v>71150</v>
      </c>
      <c r="D521" s="89">
        <v>232441</v>
      </c>
      <c r="E521" s="89"/>
      <c r="F521" s="89"/>
      <c r="G521" s="89">
        <v>16500</v>
      </c>
      <c r="H521" s="89">
        <f>275+1650+8</f>
        <v>1933</v>
      </c>
      <c r="I521" s="261">
        <f>+C521+D521+E521+F521+G521+H521</f>
        <v>322024</v>
      </c>
    </row>
    <row r="522" spans="2:9" ht="15" customHeight="1" x14ac:dyDescent="0.25">
      <c r="B522" s="570" t="s">
        <v>141</v>
      </c>
      <c r="C522" s="269">
        <f t="shared" ref="C522:H522" si="76">SUM(C519:C521)</f>
        <v>172198</v>
      </c>
      <c r="D522" s="86">
        <f t="shared" si="76"/>
        <v>766524</v>
      </c>
      <c r="E522" s="86">
        <f t="shared" si="76"/>
        <v>0</v>
      </c>
      <c r="F522" s="86">
        <f t="shared" si="76"/>
        <v>19000</v>
      </c>
      <c r="G522" s="86">
        <f t="shared" si="76"/>
        <v>27150</v>
      </c>
      <c r="H522" s="86">
        <f t="shared" si="76"/>
        <v>2999</v>
      </c>
      <c r="I522" s="86">
        <f>+C522+D522+E522+F522+G522+H522</f>
        <v>987871</v>
      </c>
    </row>
    <row r="523" spans="2:9" ht="15" customHeight="1" thickBot="1" x14ac:dyDescent="0.3">
      <c r="B523" s="593"/>
      <c r="C523" s="266"/>
      <c r="D523" s="87"/>
      <c r="E523" s="87"/>
      <c r="F523" s="87"/>
      <c r="G523" s="87"/>
      <c r="H523" s="87"/>
      <c r="I523" s="327"/>
    </row>
    <row r="524" spans="2:9" ht="15" customHeight="1" x14ac:dyDescent="0.25">
      <c r="B524" s="14" t="s">
        <v>23</v>
      </c>
      <c r="C524" s="14"/>
      <c r="D524" s="14"/>
      <c r="E524" s="6"/>
      <c r="F524" s="6"/>
      <c r="G524" s="6"/>
      <c r="H524" s="6"/>
      <c r="I524" s="6"/>
    </row>
    <row r="525" spans="2:9" ht="15" customHeight="1" x14ac:dyDescent="0.25">
      <c r="B525" s="6"/>
      <c r="C525" s="6"/>
      <c r="D525" s="6"/>
      <c r="E525" s="6"/>
      <c r="F525" s="6"/>
      <c r="G525" s="6"/>
      <c r="H525" s="6"/>
      <c r="I525" s="6"/>
    </row>
    <row r="526" spans="2:9" ht="15" customHeight="1" x14ac:dyDescent="0.25">
      <c r="B526" s="864" t="s">
        <v>137</v>
      </c>
      <c r="C526" s="864"/>
      <c r="D526" s="864"/>
      <c r="E526" s="864"/>
      <c r="F526" s="864"/>
      <c r="G526" s="864"/>
      <c r="H526" s="864"/>
      <c r="I526" s="864"/>
    </row>
    <row r="527" spans="2:9" ht="15" customHeight="1" x14ac:dyDescent="0.25">
      <c r="B527" s="864">
        <v>2004</v>
      </c>
      <c r="C527" s="864"/>
      <c r="D527" s="864"/>
      <c r="E527" s="864"/>
      <c r="F527" s="864"/>
      <c r="G527" s="864"/>
      <c r="H527" s="864"/>
      <c r="I527" s="864"/>
    </row>
    <row r="528" spans="2:9" ht="15" customHeight="1" thickBot="1" x14ac:dyDescent="0.3">
      <c r="B528" s="929" t="s">
        <v>135</v>
      </c>
      <c r="C528" s="929"/>
      <c r="D528" s="929"/>
      <c r="E528" s="929"/>
      <c r="F528" s="929"/>
      <c r="G528" s="929"/>
      <c r="H528" s="929"/>
      <c r="I528" s="929"/>
    </row>
    <row r="529" spans="2:9" ht="24.9" customHeight="1" thickBot="1" x14ac:dyDescent="0.3">
      <c r="B529" s="594" t="s">
        <v>100</v>
      </c>
      <c r="C529" s="595" t="s">
        <v>52</v>
      </c>
      <c r="D529" s="595" t="s">
        <v>123</v>
      </c>
      <c r="E529" s="595" t="s">
        <v>79</v>
      </c>
      <c r="F529" s="595" t="s">
        <v>181</v>
      </c>
      <c r="G529" s="595" t="s">
        <v>131</v>
      </c>
      <c r="H529" s="595" t="s">
        <v>84</v>
      </c>
      <c r="I529" s="595" t="s">
        <v>78</v>
      </c>
    </row>
    <row r="530" spans="2:9" ht="15" customHeight="1" x14ac:dyDescent="0.25">
      <c r="B530" s="574"/>
      <c r="C530" s="264"/>
      <c r="D530" s="85"/>
      <c r="E530" s="305"/>
      <c r="F530" s="305"/>
      <c r="G530" s="305"/>
      <c r="H530" s="305"/>
      <c r="I530" s="257"/>
    </row>
    <row r="531" spans="2:9" ht="15" customHeight="1" x14ac:dyDescent="0.25">
      <c r="B531" s="570" t="s">
        <v>103</v>
      </c>
      <c r="C531" s="265">
        <f t="shared" ref="C531:I531" si="77">+C537+C542+C547+C552</f>
        <v>879035</v>
      </c>
      <c r="D531" s="86">
        <f t="shared" si="77"/>
        <v>6481777</v>
      </c>
      <c r="E531" s="86">
        <f t="shared" si="77"/>
        <v>9500</v>
      </c>
      <c r="F531" s="86">
        <f t="shared" si="77"/>
        <v>1242200</v>
      </c>
      <c r="G531" s="86">
        <f t="shared" si="77"/>
        <v>172250</v>
      </c>
      <c r="H531" s="86">
        <f t="shared" si="77"/>
        <v>36675</v>
      </c>
      <c r="I531" s="86">
        <f t="shared" si="77"/>
        <v>8821437</v>
      </c>
    </row>
    <row r="532" spans="2:9" ht="15" customHeight="1" thickBot="1" x14ac:dyDescent="0.3">
      <c r="B532" s="593"/>
      <c r="C532" s="266"/>
      <c r="D532" s="87"/>
      <c r="E532" s="306"/>
      <c r="F532" s="306"/>
      <c r="G532" s="306"/>
      <c r="H532" s="306"/>
      <c r="I532" s="259"/>
    </row>
    <row r="533" spans="2:9" ht="15" customHeight="1" x14ac:dyDescent="0.25">
      <c r="B533" s="579"/>
      <c r="C533" s="267"/>
      <c r="D533" s="88"/>
      <c r="E533" s="307"/>
      <c r="F533" s="307"/>
      <c r="G533" s="307"/>
      <c r="H533" s="307"/>
      <c r="I533" s="258"/>
    </row>
    <row r="534" spans="2:9" ht="15" customHeight="1" x14ac:dyDescent="0.25">
      <c r="B534" s="577" t="s">
        <v>86</v>
      </c>
      <c r="C534" s="268">
        <v>77770</v>
      </c>
      <c r="D534" s="89">
        <v>342602</v>
      </c>
      <c r="E534" s="89"/>
      <c r="F534" s="89"/>
      <c r="G534" s="89">
        <v>3550</v>
      </c>
      <c r="H534" s="89">
        <f>1161+835+21</f>
        <v>2017</v>
      </c>
      <c r="I534" s="261">
        <f>+C534+D534+E534+F534+G534+H534</f>
        <v>425939</v>
      </c>
    </row>
    <row r="535" spans="2:9" ht="15" customHeight="1" x14ac:dyDescent="0.25">
      <c r="B535" s="577" t="s">
        <v>87</v>
      </c>
      <c r="C535" s="268">
        <v>66430</v>
      </c>
      <c r="D535" s="89">
        <v>187636</v>
      </c>
      <c r="E535" s="89">
        <v>4400</v>
      </c>
      <c r="F535" s="89"/>
      <c r="G535" s="89">
        <v>5400</v>
      </c>
      <c r="H535" s="89">
        <f>6758+220+250</f>
        <v>7228</v>
      </c>
      <c r="I535" s="261">
        <f>+C535+D535+E535+F535+G535+H535</f>
        <v>271094</v>
      </c>
    </row>
    <row r="536" spans="2:9" ht="15" customHeight="1" x14ac:dyDescent="0.25">
      <c r="B536" s="577" t="s">
        <v>88</v>
      </c>
      <c r="C536" s="268">
        <v>86152</v>
      </c>
      <c r="D536" s="89">
        <v>452087</v>
      </c>
      <c r="E536" s="89"/>
      <c r="F536" s="89">
        <v>14800</v>
      </c>
      <c r="G536" s="89">
        <v>21400</v>
      </c>
      <c r="H536" s="89">
        <f>1655+660+167</f>
        <v>2482</v>
      </c>
      <c r="I536" s="261">
        <f>+C536+D536+E536+F536+G536+H536</f>
        <v>576921</v>
      </c>
    </row>
    <row r="537" spans="2:9" ht="15" customHeight="1" x14ac:dyDescent="0.25">
      <c r="B537" s="570" t="s">
        <v>138</v>
      </c>
      <c r="C537" s="269">
        <f t="shared" ref="C537:H537" si="78">SUM(C534:C536)</f>
        <v>230352</v>
      </c>
      <c r="D537" s="86">
        <f t="shared" si="78"/>
        <v>982325</v>
      </c>
      <c r="E537" s="86">
        <f t="shared" si="78"/>
        <v>4400</v>
      </c>
      <c r="F537" s="86">
        <f t="shared" si="78"/>
        <v>14800</v>
      </c>
      <c r="G537" s="86">
        <f t="shared" si="78"/>
        <v>30350</v>
      </c>
      <c r="H537" s="86">
        <f t="shared" si="78"/>
        <v>11727</v>
      </c>
      <c r="I537" s="86">
        <f>+C537+D537+E537+F537+G537+H537</f>
        <v>1273954</v>
      </c>
    </row>
    <row r="538" spans="2:9" ht="15" customHeight="1" x14ac:dyDescent="0.25">
      <c r="B538" s="577"/>
      <c r="C538" s="268"/>
      <c r="D538" s="89"/>
      <c r="E538" s="89"/>
      <c r="F538" s="89"/>
      <c r="G538" s="89"/>
      <c r="H538" s="89"/>
      <c r="I538" s="260"/>
    </row>
    <row r="539" spans="2:9" ht="15" customHeight="1" x14ac:dyDescent="0.25">
      <c r="B539" s="577" t="s">
        <v>89</v>
      </c>
      <c r="C539" s="268">
        <v>74267</v>
      </c>
      <c r="D539" s="89">
        <v>1031180</v>
      </c>
      <c r="E539" s="89"/>
      <c r="F539" s="89">
        <v>307200</v>
      </c>
      <c r="G539" s="89">
        <v>7100</v>
      </c>
      <c r="H539" s="89">
        <f>3897+640+127</f>
        <v>4664</v>
      </c>
      <c r="I539" s="261">
        <f>+C539+D539+E539+F539+G539+H539</f>
        <v>1424411</v>
      </c>
    </row>
    <row r="540" spans="2:9" ht="15" customHeight="1" x14ac:dyDescent="0.25">
      <c r="B540" s="577" t="s">
        <v>90</v>
      </c>
      <c r="C540" s="268">
        <v>57644</v>
      </c>
      <c r="D540" s="89">
        <v>852208</v>
      </c>
      <c r="E540" s="89"/>
      <c r="F540" s="89">
        <v>232400</v>
      </c>
      <c r="G540" s="89">
        <v>6600</v>
      </c>
      <c r="H540" s="89">
        <f>4285+270+117</f>
        <v>4672</v>
      </c>
      <c r="I540" s="261">
        <f>+C540+D540+E540+F540+G540+H540</f>
        <v>1153524</v>
      </c>
    </row>
    <row r="541" spans="2:9" ht="15" customHeight="1" x14ac:dyDescent="0.25">
      <c r="B541" s="577" t="s">
        <v>91</v>
      </c>
      <c r="C541" s="268">
        <v>63184</v>
      </c>
      <c r="D541" s="89">
        <v>729843</v>
      </c>
      <c r="E541" s="89"/>
      <c r="F541" s="89">
        <v>238600</v>
      </c>
      <c r="G541" s="89">
        <v>12600</v>
      </c>
      <c r="H541" s="89">
        <f>483+825+1085</f>
        <v>2393</v>
      </c>
      <c r="I541" s="261">
        <f>+C541+D541+E541+F541+G541+H541</f>
        <v>1046620</v>
      </c>
    </row>
    <row r="542" spans="2:9" ht="15" customHeight="1" x14ac:dyDescent="0.25">
      <c r="B542" s="570" t="s">
        <v>139</v>
      </c>
      <c r="C542" s="269">
        <f t="shared" ref="C542:H542" si="79">SUM(C539:C541)</f>
        <v>195095</v>
      </c>
      <c r="D542" s="86">
        <f t="shared" si="79"/>
        <v>2613231</v>
      </c>
      <c r="E542" s="86">
        <f t="shared" si="79"/>
        <v>0</v>
      </c>
      <c r="F542" s="86">
        <f t="shared" si="79"/>
        <v>778200</v>
      </c>
      <c r="G542" s="86">
        <f t="shared" si="79"/>
        <v>26300</v>
      </c>
      <c r="H542" s="86">
        <f t="shared" si="79"/>
        <v>11729</v>
      </c>
      <c r="I542" s="86">
        <f>+C542+D542+E542+F542+G542+H542</f>
        <v>3624555</v>
      </c>
    </row>
    <row r="543" spans="2:9" ht="15" customHeight="1" x14ac:dyDescent="0.25">
      <c r="B543" s="577"/>
      <c r="C543" s="268"/>
      <c r="D543" s="89"/>
      <c r="E543" s="89"/>
      <c r="F543" s="89"/>
      <c r="G543" s="89"/>
      <c r="H543" s="89"/>
      <c r="I543" s="260"/>
    </row>
    <row r="544" spans="2:9" ht="15" customHeight="1" x14ac:dyDescent="0.25">
      <c r="B544" s="577" t="s">
        <v>93</v>
      </c>
      <c r="C544" s="268">
        <v>64002</v>
      </c>
      <c r="D544" s="89">
        <v>807791</v>
      </c>
      <c r="E544" s="89"/>
      <c r="F544" s="89">
        <v>29600</v>
      </c>
      <c r="G544" s="89">
        <v>13100</v>
      </c>
      <c r="H544" s="89">
        <f>2666+1335+237</f>
        <v>4238</v>
      </c>
      <c r="I544" s="261">
        <f>+C544+D544+E544+F544+G544+H544</f>
        <v>918731</v>
      </c>
    </row>
    <row r="545" spans="2:9" ht="15" customHeight="1" x14ac:dyDescent="0.25">
      <c r="B545" s="577" t="s">
        <v>94</v>
      </c>
      <c r="C545" s="268">
        <v>91586</v>
      </c>
      <c r="D545" s="89">
        <v>598738</v>
      </c>
      <c r="E545" s="89">
        <v>3600</v>
      </c>
      <c r="F545" s="89">
        <v>196200</v>
      </c>
      <c r="G545" s="89">
        <v>21300</v>
      </c>
      <c r="H545" s="89">
        <f>673+480+4</f>
        <v>1157</v>
      </c>
      <c r="I545" s="261">
        <f>+C545+D545+E545+F545+G545+H545</f>
        <v>912581</v>
      </c>
    </row>
    <row r="546" spans="2:9" ht="15" customHeight="1" x14ac:dyDescent="0.25">
      <c r="B546" s="577" t="s">
        <v>101</v>
      </c>
      <c r="C546" s="268">
        <v>64450</v>
      </c>
      <c r="D546" s="89">
        <v>624555</v>
      </c>
      <c r="E546" s="89">
        <v>1500</v>
      </c>
      <c r="F546" s="89">
        <v>123400</v>
      </c>
      <c r="G546" s="89">
        <v>22250</v>
      </c>
      <c r="H546" s="89">
        <f>3945+335+108</f>
        <v>4388</v>
      </c>
      <c r="I546" s="261">
        <f>+C546+D546+E546+F546+G546+H546</f>
        <v>840543</v>
      </c>
    </row>
    <row r="547" spans="2:9" ht="15" customHeight="1" x14ac:dyDescent="0.25">
      <c r="B547" s="570" t="s">
        <v>140</v>
      </c>
      <c r="C547" s="269">
        <f t="shared" ref="C547:H547" si="80">SUM(C544:C546)</f>
        <v>220038</v>
      </c>
      <c r="D547" s="86">
        <f t="shared" si="80"/>
        <v>2031084</v>
      </c>
      <c r="E547" s="86">
        <f t="shared" si="80"/>
        <v>5100</v>
      </c>
      <c r="F547" s="86">
        <f t="shared" si="80"/>
        <v>349200</v>
      </c>
      <c r="G547" s="86">
        <f t="shared" si="80"/>
        <v>56650</v>
      </c>
      <c r="H547" s="86">
        <f t="shared" si="80"/>
        <v>9783</v>
      </c>
      <c r="I547" s="86">
        <f>+C547+D547+E547+F547+G547+H547</f>
        <v>2671855</v>
      </c>
    </row>
    <row r="548" spans="2:9" ht="15" customHeight="1" x14ac:dyDescent="0.25">
      <c r="B548" s="577"/>
      <c r="C548" s="268"/>
      <c r="D548" s="89"/>
      <c r="E548" s="89"/>
      <c r="F548" s="89"/>
      <c r="G548" s="89"/>
      <c r="H548" s="89"/>
      <c r="I548" s="260"/>
    </row>
    <row r="549" spans="2:9" ht="15" customHeight="1" x14ac:dyDescent="0.25">
      <c r="B549" s="577" t="s">
        <v>95</v>
      </c>
      <c r="C549" s="268">
        <v>59650</v>
      </c>
      <c r="D549" s="89">
        <v>312186</v>
      </c>
      <c r="E549" s="89"/>
      <c r="F549" s="89">
        <v>79000</v>
      </c>
      <c r="G549" s="89">
        <v>24750</v>
      </c>
      <c r="H549" s="89">
        <f>246+10+53</f>
        <v>309</v>
      </c>
      <c r="I549" s="261">
        <f>+C549+D549+E549+F549+G549+H549</f>
        <v>475895</v>
      </c>
    </row>
    <row r="550" spans="2:9" ht="15" customHeight="1" x14ac:dyDescent="0.25">
      <c r="B550" s="577" t="s">
        <v>96</v>
      </c>
      <c r="C550" s="268">
        <v>74550</v>
      </c>
      <c r="D550" s="89">
        <v>252236</v>
      </c>
      <c r="E550" s="89"/>
      <c r="F550" s="89">
        <v>21000</v>
      </c>
      <c r="G550" s="89">
        <v>22900</v>
      </c>
      <c r="H550" s="89">
        <f>563+145+96</f>
        <v>804</v>
      </c>
      <c r="I550" s="261">
        <f>+C550+D550+E550+F550+G550+H550</f>
        <v>371490</v>
      </c>
    </row>
    <row r="551" spans="2:9" ht="15" customHeight="1" x14ac:dyDescent="0.25">
      <c r="B551" s="577" t="s">
        <v>97</v>
      </c>
      <c r="C551" s="268">
        <v>99350</v>
      </c>
      <c r="D551" s="89">
        <v>290715</v>
      </c>
      <c r="E551" s="89"/>
      <c r="F551" s="89"/>
      <c r="G551" s="89">
        <v>11300</v>
      </c>
      <c r="H551" s="89">
        <f>601+1675+47</f>
        <v>2323</v>
      </c>
      <c r="I551" s="261">
        <f>+C551+D551+E551+F551+G551+H551</f>
        <v>403688</v>
      </c>
    </row>
    <row r="552" spans="2:9" ht="15" customHeight="1" x14ac:dyDescent="0.25">
      <c r="B552" s="570" t="s">
        <v>141</v>
      </c>
      <c r="C552" s="269">
        <f t="shared" ref="C552:H552" si="81">SUM(C549:C551)</f>
        <v>233550</v>
      </c>
      <c r="D552" s="86">
        <f t="shared" si="81"/>
        <v>855137</v>
      </c>
      <c r="E552" s="86">
        <f t="shared" si="81"/>
        <v>0</v>
      </c>
      <c r="F552" s="86">
        <f t="shared" si="81"/>
        <v>100000</v>
      </c>
      <c r="G552" s="86">
        <f t="shared" si="81"/>
        <v>58950</v>
      </c>
      <c r="H552" s="86">
        <f t="shared" si="81"/>
        <v>3436</v>
      </c>
      <c r="I552" s="86">
        <f>+C552+D552+E552+F552+G552+H552</f>
        <v>1251073</v>
      </c>
    </row>
    <row r="553" spans="2:9" ht="15" customHeight="1" thickBot="1" x14ac:dyDescent="0.3">
      <c r="B553" s="593"/>
      <c r="C553" s="266"/>
      <c r="D553" s="87"/>
      <c r="E553" s="306"/>
      <c r="F553" s="306"/>
      <c r="G553" s="306"/>
      <c r="H553" s="306"/>
      <c r="I553" s="259"/>
    </row>
    <row r="554" spans="2:9" ht="15" customHeight="1" x14ac:dyDescent="0.25">
      <c r="B554" s="14" t="s">
        <v>23</v>
      </c>
    </row>
  </sheetData>
  <mergeCells count="69">
    <mergeCell ref="B1:J1"/>
    <mergeCell ref="B2:J2"/>
    <mergeCell ref="B3:J3"/>
    <mergeCell ref="B4:J4"/>
    <mergeCell ref="B32:J32"/>
    <mergeCell ref="B33:J33"/>
    <mergeCell ref="B34:J34"/>
    <mergeCell ref="B35:J35"/>
    <mergeCell ref="B63:J63"/>
    <mergeCell ref="B64:J64"/>
    <mergeCell ref="B65:J65"/>
    <mergeCell ref="B66:J66"/>
    <mergeCell ref="B218:J218"/>
    <mergeCell ref="B94:J94"/>
    <mergeCell ref="B95:J95"/>
    <mergeCell ref="B96:J96"/>
    <mergeCell ref="B97:J97"/>
    <mergeCell ref="B190:J190"/>
    <mergeCell ref="B125:J125"/>
    <mergeCell ref="B126:J126"/>
    <mergeCell ref="B127:J127"/>
    <mergeCell ref="B128:J128"/>
    <mergeCell ref="B156:J156"/>
    <mergeCell ref="B157:J157"/>
    <mergeCell ref="B158:J158"/>
    <mergeCell ref="B159:J159"/>
    <mergeCell ref="B219:J219"/>
    <mergeCell ref="B220:J220"/>
    <mergeCell ref="B221:J221"/>
    <mergeCell ref="B313:J313"/>
    <mergeCell ref="B311:J311"/>
    <mergeCell ref="B282:J282"/>
    <mergeCell ref="B283:J283"/>
    <mergeCell ref="B252:J252"/>
    <mergeCell ref="B280:J280"/>
    <mergeCell ref="B249:J249"/>
    <mergeCell ref="B250:J250"/>
    <mergeCell ref="B251:J251"/>
    <mergeCell ref="B187:J187"/>
    <mergeCell ref="B188:J188"/>
    <mergeCell ref="B189:J189"/>
    <mergeCell ref="B407:I407"/>
    <mergeCell ref="B281:J281"/>
    <mergeCell ref="B374:H374"/>
    <mergeCell ref="B373:H373"/>
    <mergeCell ref="B345:H345"/>
    <mergeCell ref="B342:H342"/>
    <mergeCell ref="B344:H344"/>
    <mergeCell ref="B314:J314"/>
    <mergeCell ref="B406:I406"/>
    <mergeCell ref="B404:I404"/>
    <mergeCell ref="B376:H376"/>
    <mergeCell ref="B405:I405"/>
    <mergeCell ref="B375:H375"/>
    <mergeCell ref="B343:H343"/>
    <mergeCell ref="B312:J312"/>
    <mergeCell ref="B528:I528"/>
    <mergeCell ref="B435:I435"/>
    <mergeCell ref="B496:I496"/>
    <mergeCell ref="B497:I497"/>
    <mergeCell ref="B498:I498"/>
    <mergeCell ref="B466:I466"/>
    <mergeCell ref="B438:I438"/>
    <mergeCell ref="B437:I437"/>
    <mergeCell ref="B527:I527"/>
    <mergeCell ref="B526:I526"/>
    <mergeCell ref="B467:I467"/>
    <mergeCell ref="B468:I468"/>
    <mergeCell ref="B436:I436"/>
  </mergeCells>
  <phoneticPr fontId="0" type="noConversion"/>
  <printOptions horizontalCentered="1"/>
  <pageMargins left="0.59055118110236227" right="0.59055118110236227" top="0.59055118110236227" bottom="0.59055118110236227" header="0" footer="0"/>
  <pageSetup scale="18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J552"/>
  <sheetViews>
    <sheetView workbookViewId="0">
      <selection activeCell="L12" sqref="L12"/>
    </sheetView>
  </sheetViews>
  <sheetFormatPr baseColWidth="10" defaultColWidth="11.44140625" defaultRowHeight="15" x14ac:dyDescent="0.25"/>
  <cols>
    <col min="1" max="1" width="2.6640625" style="13" customWidth="1"/>
    <col min="2" max="2" width="25.6640625" style="13" customWidth="1"/>
    <col min="3" max="7" width="15.6640625" style="13" customWidth="1"/>
    <col min="8" max="8" width="14" style="13" customWidth="1"/>
    <col min="9" max="9" width="13.33203125" style="13" customWidth="1"/>
    <col min="10" max="10" width="13.88671875" style="13" customWidth="1"/>
    <col min="11" max="11" width="17.5546875" style="13" customWidth="1"/>
    <col min="12" max="12" width="11.44140625" style="13"/>
    <col min="13" max="13" width="16.6640625" style="13" customWidth="1"/>
    <col min="14" max="14" width="15.109375" style="13" customWidth="1"/>
    <col min="15" max="15" width="12" style="13" customWidth="1"/>
    <col min="16" max="16" width="13.109375" style="13" customWidth="1"/>
    <col min="17" max="17" width="14.6640625" style="13" customWidth="1"/>
    <col min="18" max="16384" width="11.44140625" style="13"/>
  </cols>
  <sheetData>
    <row r="1" spans="2:10" ht="15.6" x14ac:dyDescent="0.25">
      <c r="B1" s="864" t="s">
        <v>191</v>
      </c>
      <c r="C1" s="864"/>
      <c r="D1" s="864"/>
      <c r="E1" s="864"/>
      <c r="F1" s="864"/>
      <c r="G1" s="864"/>
      <c r="H1" s="864"/>
      <c r="I1" s="864"/>
      <c r="J1" s="864"/>
    </row>
    <row r="2" spans="2:10" ht="15.6" x14ac:dyDescent="0.25">
      <c r="B2" s="864" t="s">
        <v>137</v>
      </c>
      <c r="C2" s="864"/>
      <c r="D2" s="864"/>
      <c r="E2" s="864"/>
      <c r="F2" s="864"/>
      <c r="G2" s="864"/>
      <c r="H2" s="864"/>
      <c r="I2" s="864"/>
      <c r="J2" s="864"/>
    </row>
    <row r="3" spans="2:10" ht="15.6" x14ac:dyDescent="0.25">
      <c r="B3" s="864">
        <v>2021</v>
      </c>
      <c r="C3" s="864"/>
      <c r="D3" s="864"/>
      <c r="E3" s="864"/>
      <c r="F3" s="864"/>
      <c r="G3" s="864"/>
      <c r="H3" s="864"/>
      <c r="I3" s="864"/>
      <c r="J3" s="864"/>
    </row>
    <row r="4" spans="2:10" ht="16.2" thickBot="1" x14ac:dyDescent="0.3">
      <c r="B4" s="929" t="s">
        <v>27</v>
      </c>
      <c r="C4" s="929"/>
      <c r="D4" s="929"/>
      <c r="E4" s="929"/>
      <c r="F4" s="929"/>
      <c r="G4" s="929"/>
      <c r="H4" s="929"/>
      <c r="I4" s="929"/>
      <c r="J4" s="929"/>
    </row>
    <row r="5" spans="2:10" ht="16.2" thickBot="1" x14ac:dyDescent="0.3">
      <c r="B5" s="594" t="s">
        <v>100</v>
      </c>
      <c r="C5" s="824" t="s">
        <v>52</v>
      </c>
      <c r="D5" s="824" t="s">
        <v>123</v>
      </c>
      <c r="E5" s="824" t="s">
        <v>181</v>
      </c>
      <c r="F5" s="824" t="s">
        <v>131</v>
      </c>
      <c r="G5" s="824" t="s">
        <v>232</v>
      </c>
      <c r="H5" s="824" t="s">
        <v>233</v>
      </c>
      <c r="I5" s="594" t="s">
        <v>84</v>
      </c>
      <c r="J5" s="824" t="s">
        <v>78</v>
      </c>
    </row>
    <row r="6" spans="2:10" x14ac:dyDescent="0.25">
      <c r="B6" s="574"/>
      <c r="C6" s="377"/>
      <c r="D6" s="377"/>
      <c r="E6" s="378"/>
      <c r="F6" s="378"/>
      <c r="G6" s="378"/>
      <c r="H6" s="659"/>
      <c r="I6" s="379"/>
      <c r="J6" s="378"/>
    </row>
    <row r="7" spans="2:10" ht="15.6" x14ac:dyDescent="0.25">
      <c r="B7" s="570" t="s">
        <v>103</v>
      </c>
      <c r="C7" s="380">
        <f t="shared" ref="C7:H7" si="0">+C13+C18+C23+C28</f>
        <v>11466.190476190475</v>
      </c>
      <c r="D7" s="380">
        <f t="shared" si="0"/>
        <v>85582.290476190479</v>
      </c>
      <c r="E7" s="380">
        <f t="shared" si="0"/>
        <v>0</v>
      </c>
      <c r="F7" s="380">
        <f t="shared" si="0"/>
        <v>0</v>
      </c>
      <c r="G7" s="380">
        <f t="shared" si="0"/>
        <v>0</v>
      </c>
      <c r="H7" s="660">
        <f t="shared" si="0"/>
        <v>0</v>
      </c>
      <c r="I7" s="666">
        <f>+I13+I18+I23+I28</f>
        <v>0</v>
      </c>
      <c r="J7" s="380">
        <f>+J13+J18+J23+J28</f>
        <v>97048.480952380953</v>
      </c>
    </row>
    <row r="8" spans="2:10" ht="15.6" thickBot="1" x14ac:dyDescent="0.3">
      <c r="B8" s="593"/>
      <c r="C8" s="381"/>
      <c r="D8" s="381"/>
      <c r="E8" s="382"/>
      <c r="F8" s="382"/>
      <c r="G8" s="382"/>
      <c r="H8" s="661"/>
      <c r="I8" s="383"/>
      <c r="J8" s="382"/>
    </row>
    <row r="9" spans="2:10" x14ac:dyDescent="0.25">
      <c r="B9" s="579"/>
      <c r="C9" s="384"/>
      <c r="D9" s="384"/>
      <c r="E9" s="385"/>
      <c r="F9" s="385"/>
      <c r="G9" s="385"/>
      <c r="H9" s="662"/>
      <c r="I9" s="386"/>
      <c r="J9" s="385"/>
    </row>
    <row r="10" spans="2:10" x14ac:dyDescent="0.25">
      <c r="B10" s="577" t="s">
        <v>86</v>
      </c>
      <c r="C10" s="387">
        <f>+'C-SH-6A ConsCombFloPesq,04-21'!C10/42</f>
        <v>461.90476190476193</v>
      </c>
      <c r="D10" s="387">
        <f>+'C-SH-6A ConsCombFloPesq,04-21'!D10/42</f>
        <v>4297.2380952380954</v>
      </c>
      <c r="E10" s="387">
        <f>+'C-SH-6A ConsCombFloPesq,04-21'!E11/42</f>
        <v>0</v>
      </c>
      <c r="F10" s="387">
        <f>+'C-SH-6A ConsCombFloPesq,04-21'!F11/42</f>
        <v>0</v>
      </c>
      <c r="G10" s="387">
        <f>+'C-SH-6A ConsCombFloPesq,04-21'!G11/42</f>
        <v>0</v>
      </c>
      <c r="H10" s="387">
        <f>+'C-SH-6A ConsCombFloPesq,04-21'!H11/42</f>
        <v>0</v>
      </c>
      <c r="I10" s="387">
        <f>+'C-SH-6A ConsCombFloPesq,04-21'!I11/42</f>
        <v>0</v>
      </c>
      <c r="J10" s="387">
        <f>+'C-SH-6A ConsCombFloPesq,04-21'!J12/42</f>
        <v>6485.333333333333</v>
      </c>
    </row>
    <row r="11" spans="2:10" x14ac:dyDescent="0.25">
      <c r="B11" s="577" t="s">
        <v>87</v>
      </c>
      <c r="C11" s="387">
        <f>+'C-SH-6A ConsCombFloPesq,04-21'!C11/42</f>
        <v>830.95238095238096</v>
      </c>
      <c r="D11" s="387">
        <f>+'C-SH-6A ConsCombFloPesq,04-21'!D11/42</f>
        <v>3721.4523809523807</v>
      </c>
      <c r="E11" s="387">
        <f>+'C-SH-6A ConsCombFloPesq,04-21'!E12/42</f>
        <v>0</v>
      </c>
      <c r="F11" s="387">
        <f>+'C-SH-6A ConsCombFloPesq,04-21'!F12/42</f>
        <v>0</v>
      </c>
      <c r="G11" s="387">
        <f>+'C-SH-6A ConsCombFloPesq,04-21'!G12/42</f>
        <v>0</v>
      </c>
      <c r="H11" s="387">
        <f>+'C-SH-6A ConsCombFloPesq,04-21'!H12/42</f>
        <v>0</v>
      </c>
      <c r="I11" s="387">
        <f>+'C-SH-6A ConsCombFloPesq,04-21'!I12/42</f>
        <v>0</v>
      </c>
      <c r="J11" s="387">
        <f>+'C-SH-6A ConsCombFloPesq,04-21'!J13/42</f>
        <v>15796.880952380952</v>
      </c>
    </row>
    <row r="12" spans="2:10" x14ac:dyDescent="0.25">
      <c r="B12" s="577" t="s">
        <v>88</v>
      </c>
      <c r="C12" s="387">
        <f>+'C-SH-6A ConsCombFloPesq,04-21'!C12/42</f>
        <v>1045.2380952380952</v>
      </c>
      <c r="D12" s="387">
        <f>+'C-SH-6A ConsCombFloPesq,04-21'!D12/42</f>
        <v>5440.0952380952385</v>
      </c>
      <c r="E12" s="387">
        <f>+'C-SH-6A ConsCombFloPesq,04-21'!E13/42</f>
        <v>0</v>
      </c>
      <c r="F12" s="387">
        <f>+'C-SH-6A ConsCombFloPesq,04-21'!F13/42</f>
        <v>0</v>
      </c>
      <c r="G12" s="387">
        <f>+'C-SH-6A ConsCombFloPesq,04-21'!G13/42</f>
        <v>0</v>
      </c>
      <c r="H12" s="387">
        <f>+'C-SH-6A ConsCombFloPesq,04-21'!H13/42</f>
        <v>0</v>
      </c>
      <c r="I12" s="387">
        <f>+'C-SH-6A ConsCombFloPesq,04-21'!I13/42</f>
        <v>0</v>
      </c>
      <c r="J12" s="387">
        <f>+'C-SH-6A ConsCombFloPesq,04-21'!J14/42</f>
        <v>0</v>
      </c>
    </row>
    <row r="13" spans="2:10" ht="15.6" x14ac:dyDescent="0.25">
      <c r="B13" s="570" t="s">
        <v>138</v>
      </c>
      <c r="C13" s="380">
        <f t="shared" ref="C13:I13" si="1">SUM(C10:C12)</f>
        <v>2338.0952380952381</v>
      </c>
      <c r="D13" s="380">
        <f t="shared" si="1"/>
        <v>13458.785714285714</v>
      </c>
      <c r="E13" s="380">
        <f t="shared" si="1"/>
        <v>0</v>
      </c>
      <c r="F13" s="380">
        <f t="shared" si="1"/>
        <v>0</v>
      </c>
      <c r="G13" s="380">
        <f t="shared" si="1"/>
        <v>0</v>
      </c>
      <c r="H13" s="380">
        <f t="shared" si="1"/>
        <v>0</v>
      </c>
      <c r="I13" s="666">
        <f t="shared" si="1"/>
        <v>0</v>
      </c>
      <c r="J13" s="380">
        <f>+C13+D13+E13+F13+G13+H13+I13</f>
        <v>15796.880952380952</v>
      </c>
    </row>
    <row r="14" spans="2:10" x14ac:dyDescent="0.25">
      <c r="B14" s="577"/>
      <c r="C14" s="387"/>
      <c r="D14" s="387"/>
      <c r="E14" s="387"/>
      <c r="F14" s="387"/>
      <c r="G14" s="387"/>
      <c r="H14" s="664"/>
      <c r="I14" s="388"/>
      <c r="J14" s="387"/>
    </row>
    <row r="15" spans="2:10" x14ac:dyDescent="0.25">
      <c r="B15" s="577" t="s">
        <v>89</v>
      </c>
      <c r="C15" s="387">
        <f>+'C-SH-6A ConsCombFloPesq,04-21'!C15/42</f>
        <v>957.85714285714289</v>
      </c>
      <c r="D15" s="387">
        <f>+'C-SH-6A ConsCombFloPesq,04-21'!D15/42</f>
        <v>8888.0238095238092</v>
      </c>
      <c r="E15" s="387">
        <f>+'C-SH-6A ConsCombFloPesq,04-21'!E16/42</f>
        <v>0</v>
      </c>
      <c r="F15" s="387">
        <f>+'C-SH-6A ConsCombFloPesq,04-21'!F16/42</f>
        <v>0</v>
      </c>
      <c r="G15" s="387">
        <f>+'C-SH-6A ConsCombFloPesq,04-21'!G16/42</f>
        <v>0</v>
      </c>
      <c r="H15" s="387">
        <f>+'C-SH-6A ConsCombFloPesq,04-21'!H16/42</f>
        <v>0</v>
      </c>
      <c r="I15" s="387">
        <f>+'C-SH-6A ConsCombFloPesq,04-21'!I16/42</f>
        <v>0</v>
      </c>
      <c r="J15" s="387">
        <f>+'C-SH-6A ConsCombFloPesq,04-21'!J17/42</f>
        <v>8446.4523809523816</v>
      </c>
    </row>
    <row r="16" spans="2:10" x14ac:dyDescent="0.25">
      <c r="B16" s="577" t="s">
        <v>90</v>
      </c>
      <c r="C16" s="387">
        <f>+'C-SH-6A ConsCombFloPesq,04-21'!C16/42</f>
        <v>792.85714285714289</v>
      </c>
      <c r="D16" s="387">
        <f>+'C-SH-6A ConsCombFloPesq,04-21'!D16/42</f>
        <v>7535.4523809523807</v>
      </c>
      <c r="E16" s="387">
        <f>+'C-SH-6A ConsCombFloPesq,04-21'!E17/42</f>
        <v>0</v>
      </c>
      <c r="F16" s="387">
        <f>+'C-SH-6A ConsCombFloPesq,04-21'!F17/42</f>
        <v>0</v>
      </c>
      <c r="G16" s="387">
        <f>+'C-SH-6A ConsCombFloPesq,04-21'!G17/42</f>
        <v>0</v>
      </c>
      <c r="H16" s="387">
        <f>+'C-SH-6A ConsCombFloPesq,04-21'!H17/42</f>
        <v>0</v>
      </c>
      <c r="I16" s="387">
        <f>+'C-SH-6A ConsCombFloPesq,04-21'!I17/42</f>
        <v>0</v>
      </c>
      <c r="J16" s="387">
        <f>+'C-SH-6A ConsCombFloPesq,04-21'!J18/42</f>
        <v>26620.642857142859</v>
      </c>
    </row>
    <row r="17" spans="2:10" x14ac:dyDescent="0.25">
      <c r="B17" s="577" t="s">
        <v>91</v>
      </c>
      <c r="C17" s="387">
        <f>+'C-SH-6A ConsCombFloPesq,04-21'!C17/42</f>
        <v>1028.5714285714287</v>
      </c>
      <c r="D17" s="387">
        <f>+'C-SH-6A ConsCombFloPesq,04-21'!D17/42</f>
        <v>7417.8809523809523</v>
      </c>
      <c r="E17" s="387">
        <f>+'C-SH-6A ConsCombFloPesq,04-21'!E18/42</f>
        <v>0</v>
      </c>
      <c r="F17" s="387">
        <f>+'C-SH-6A ConsCombFloPesq,04-21'!F18/42</f>
        <v>0</v>
      </c>
      <c r="G17" s="387">
        <f>+'C-SH-6A ConsCombFloPesq,04-21'!G18/42</f>
        <v>0</v>
      </c>
      <c r="H17" s="387">
        <f>+'C-SH-6A ConsCombFloPesq,04-21'!H18/42</f>
        <v>0</v>
      </c>
      <c r="I17" s="387">
        <f>+'C-SH-6A ConsCombFloPesq,04-21'!I18/42</f>
        <v>0</v>
      </c>
      <c r="J17" s="387">
        <f>+'C-SH-6A ConsCombFloPesq,04-21'!J19/42</f>
        <v>0</v>
      </c>
    </row>
    <row r="18" spans="2:10" ht="15.6" x14ac:dyDescent="0.25">
      <c r="B18" s="570" t="s">
        <v>139</v>
      </c>
      <c r="C18" s="380">
        <f t="shared" ref="C18:I18" si="2">SUM(C15:C17)</f>
        <v>2779.2857142857147</v>
      </c>
      <c r="D18" s="380">
        <f t="shared" si="2"/>
        <v>23841.357142857145</v>
      </c>
      <c r="E18" s="380">
        <f t="shared" si="2"/>
        <v>0</v>
      </c>
      <c r="F18" s="380">
        <f t="shared" si="2"/>
        <v>0</v>
      </c>
      <c r="G18" s="380">
        <f t="shared" si="2"/>
        <v>0</v>
      </c>
      <c r="H18" s="380">
        <f t="shared" si="2"/>
        <v>0</v>
      </c>
      <c r="I18" s="666">
        <f t="shared" si="2"/>
        <v>0</v>
      </c>
      <c r="J18" s="380">
        <f>+C18+D18+E18+F18+G18+H18+I18</f>
        <v>26620.642857142859</v>
      </c>
    </row>
    <row r="19" spans="2:10" x14ac:dyDescent="0.25">
      <c r="B19" s="577"/>
      <c r="C19" s="387"/>
      <c r="D19" s="387"/>
      <c r="E19" s="387"/>
      <c r="F19" s="387"/>
      <c r="G19" s="387"/>
      <c r="H19" s="664"/>
      <c r="I19" s="388"/>
      <c r="J19" s="387"/>
    </row>
    <row r="20" spans="2:10" x14ac:dyDescent="0.25">
      <c r="B20" s="577" t="s">
        <v>93</v>
      </c>
      <c r="C20" s="387">
        <f>+'C-SH-6A ConsCombFloPesq,04-21'!C20/42</f>
        <v>976.19047619047615</v>
      </c>
      <c r="D20" s="387">
        <f>+'C-SH-6A ConsCombFloPesq,04-21'!D20/42</f>
        <v>6434.7380952380954</v>
      </c>
      <c r="E20" s="387">
        <f>+'C-SH-6A ConsCombFloPesq,04-21'!E21/42</f>
        <v>0</v>
      </c>
      <c r="F20" s="387">
        <f>+'C-SH-6A ConsCombFloPesq,04-21'!F21/42</f>
        <v>0</v>
      </c>
      <c r="G20" s="387">
        <f>+'C-SH-6A ConsCombFloPesq,04-21'!G21/42</f>
        <v>0</v>
      </c>
      <c r="H20" s="387">
        <f>+'C-SH-6A ConsCombFloPesq,04-21'!H21/42</f>
        <v>0</v>
      </c>
      <c r="I20" s="387">
        <f>+'C-SH-6A ConsCombFloPesq,04-21'!I21/42</f>
        <v>0</v>
      </c>
      <c r="J20" s="387">
        <f>+'C-SH-6A ConsCombFloPesq,04-21'!J22/42</f>
        <v>7350.7904761904765</v>
      </c>
    </row>
    <row r="21" spans="2:10" x14ac:dyDescent="0.25">
      <c r="B21" s="577" t="s">
        <v>94</v>
      </c>
      <c r="C21" s="387">
        <f>+'C-SH-6A ConsCombFloPesq,04-21'!C21/42</f>
        <v>1240.4761904761904</v>
      </c>
      <c r="D21" s="387">
        <f>+'C-SH-6A ConsCombFloPesq,04-21'!D21/42</f>
        <v>5599.8095238095239</v>
      </c>
      <c r="E21" s="387">
        <f>+'C-SH-6A ConsCombFloPesq,04-21'!E22/42</f>
        <v>0</v>
      </c>
      <c r="F21" s="387">
        <f>+'C-SH-6A ConsCombFloPesq,04-21'!F22/42</f>
        <v>0</v>
      </c>
      <c r="G21" s="387">
        <f>+'C-SH-6A ConsCombFloPesq,04-21'!G22/42</f>
        <v>0</v>
      </c>
      <c r="H21" s="387">
        <f>+'C-SH-6A ConsCombFloPesq,04-21'!H22/42</f>
        <v>0</v>
      </c>
      <c r="I21" s="387">
        <f>+'C-SH-6A ConsCombFloPesq,04-21'!I22/42</f>
        <v>0</v>
      </c>
      <c r="J21" s="387">
        <f>+'C-SH-6A ConsCombFloPesq,04-21'!J23/42</f>
        <v>21602.004761904762</v>
      </c>
    </row>
    <row r="22" spans="2:10" x14ac:dyDescent="0.25">
      <c r="B22" s="577" t="s">
        <v>101</v>
      </c>
      <c r="C22" s="387">
        <f>+'C-SH-6A ConsCombFloPesq,04-21'!C22/42</f>
        <v>1152.3809523809523</v>
      </c>
      <c r="D22" s="387">
        <f>+'C-SH-6A ConsCombFloPesq,04-21'!D22/42</f>
        <v>6198.4095238095242</v>
      </c>
      <c r="E22" s="387">
        <f>+'C-SH-6A ConsCombFloPesq,04-21'!E23/42</f>
        <v>0</v>
      </c>
      <c r="F22" s="387">
        <f>+'C-SH-6A ConsCombFloPesq,04-21'!F23/42</f>
        <v>0</v>
      </c>
      <c r="G22" s="387">
        <f>+'C-SH-6A ConsCombFloPesq,04-21'!G23/42</f>
        <v>0</v>
      </c>
      <c r="H22" s="387">
        <f>+'C-SH-6A ConsCombFloPesq,04-21'!H23/42</f>
        <v>0</v>
      </c>
      <c r="I22" s="387">
        <f>+'C-SH-6A ConsCombFloPesq,04-21'!I23/42</f>
        <v>0</v>
      </c>
      <c r="J22" s="387">
        <f>+'C-SH-6A ConsCombFloPesq,04-21'!J24/42</f>
        <v>0</v>
      </c>
    </row>
    <row r="23" spans="2:10" ht="15.6" x14ac:dyDescent="0.25">
      <c r="B23" s="570" t="s">
        <v>140</v>
      </c>
      <c r="C23" s="380">
        <f t="shared" ref="C23:I23" si="3">SUM(C20:C22)</f>
        <v>3369.0476190476188</v>
      </c>
      <c r="D23" s="380">
        <f t="shared" si="3"/>
        <v>18232.957142857143</v>
      </c>
      <c r="E23" s="380">
        <f t="shared" si="3"/>
        <v>0</v>
      </c>
      <c r="F23" s="380">
        <f t="shared" si="3"/>
        <v>0</v>
      </c>
      <c r="G23" s="380">
        <f t="shared" si="3"/>
        <v>0</v>
      </c>
      <c r="H23" s="380">
        <f t="shared" si="3"/>
        <v>0</v>
      </c>
      <c r="I23" s="666">
        <f t="shared" si="3"/>
        <v>0</v>
      </c>
      <c r="J23" s="380">
        <f>+C23+D23+E23+F23+G23+H23+I23</f>
        <v>21602.004761904762</v>
      </c>
    </row>
    <row r="24" spans="2:10" x14ac:dyDescent="0.25">
      <c r="B24" s="577"/>
      <c r="C24" s="387"/>
      <c r="D24" s="387"/>
      <c r="E24" s="387"/>
      <c r="F24" s="387"/>
      <c r="G24" s="387"/>
      <c r="H24" s="664"/>
      <c r="I24" s="388"/>
      <c r="J24" s="387"/>
    </row>
    <row r="25" spans="2:10" x14ac:dyDescent="0.25">
      <c r="B25" s="577" t="s">
        <v>95</v>
      </c>
      <c r="C25" s="387">
        <f>+'C-SH-6A ConsCombFloPesq,04-21'!C25/42</f>
        <v>923.80952380952385</v>
      </c>
      <c r="D25" s="387">
        <f>+'C-SH-6A ConsCombFloPesq,04-21'!D25/42</f>
        <v>12865.833333333334</v>
      </c>
      <c r="E25" s="387">
        <f>+'C-SH-6A ConsCombFloPesq,04-21'!E26/42</f>
        <v>0</v>
      </c>
      <c r="F25" s="387">
        <f>+'C-SH-6A ConsCombFloPesq,04-21'!F26/42</f>
        <v>0</v>
      </c>
      <c r="G25" s="387">
        <f>+'C-SH-6A ConsCombFloPesq,04-21'!G26/42</f>
        <v>0</v>
      </c>
      <c r="H25" s="387">
        <f>+'C-SH-6A ConsCombFloPesq,04-21'!H26/42</f>
        <v>0</v>
      </c>
      <c r="I25" s="387">
        <f>+'C-SH-6A ConsCombFloPesq,04-21'!I26/42</f>
        <v>0</v>
      </c>
      <c r="J25" s="387">
        <f>+'C-SH-6A ConsCombFloPesq,04-21'!J27/42</f>
        <v>10259.380952380952</v>
      </c>
    </row>
    <row r="26" spans="2:10" x14ac:dyDescent="0.25">
      <c r="B26" s="577" t="s">
        <v>96</v>
      </c>
      <c r="C26" s="387">
        <f>+'C-SH-6A ConsCombFloPesq,04-21'!C26/42</f>
        <v>963.09523809523807</v>
      </c>
      <c r="D26" s="387">
        <f>+'C-SH-6A ConsCombFloPesq,04-21'!D26/42</f>
        <v>8016.833333333333</v>
      </c>
      <c r="E26" s="387">
        <f>+'C-SH-6A ConsCombFloPesq,04-21'!E27/42</f>
        <v>0</v>
      </c>
      <c r="F26" s="387">
        <f>+'C-SH-6A ConsCombFloPesq,04-21'!F27/42</f>
        <v>0</v>
      </c>
      <c r="G26" s="387">
        <f>+'C-SH-6A ConsCombFloPesq,04-21'!G27/42</f>
        <v>0</v>
      </c>
      <c r="H26" s="387">
        <f>+'C-SH-6A ConsCombFloPesq,04-21'!H27/42</f>
        <v>0</v>
      </c>
      <c r="I26" s="387">
        <f>+'C-SH-6A ConsCombFloPesq,04-21'!I27/42</f>
        <v>0</v>
      </c>
      <c r="J26" s="387">
        <f>+'C-SH-6A ConsCombFloPesq,04-21'!J28/42</f>
        <v>33028.952380952382</v>
      </c>
    </row>
    <row r="27" spans="2:10" x14ac:dyDescent="0.25">
      <c r="B27" s="577" t="s">
        <v>97</v>
      </c>
      <c r="C27" s="387">
        <f>+'C-SH-6A ConsCombFloPesq,04-21'!C27/42</f>
        <v>1092.8571428571429</v>
      </c>
      <c r="D27" s="387">
        <f>+'C-SH-6A ConsCombFloPesq,04-21'!D27/42</f>
        <v>9166.5238095238092</v>
      </c>
      <c r="E27" s="387">
        <f>+'C-SH-6A ConsCombFloPesq,04-21'!E28/42</f>
        <v>0</v>
      </c>
      <c r="F27" s="387">
        <f>+'C-SH-6A ConsCombFloPesq,04-21'!F28/42</f>
        <v>0</v>
      </c>
      <c r="G27" s="387">
        <f>+'C-SH-6A ConsCombFloPesq,04-21'!G28/42</f>
        <v>0</v>
      </c>
      <c r="H27" s="387">
        <f>+'C-SH-6A ConsCombFloPesq,04-21'!H28/42</f>
        <v>0</v>
      </c>
      <c r="I27" s="387">
        <f>+'C-SH-6A ConsCombFloPesq,04-21'!I28/42</f>
        <v>0</v>
      </c>
      <c r="J27" s="387">
        <f>+'C-SH-6A ConsCombFloPesq,04-21'!J29/42</f>
        <v>0</v>
      </c>
    </row>
    <row r="28" spans="2:10" ht="15.6" x14ac:dyDescent="0.25">
      <c r="B28" s="570" t="s">
        <v>141</v>
      </c>
      <c r="C28" s="380">
        <f t="shared" ref="C28:I28" si="4">SUM(C25:C27)</f>
        <v>2979.7619047619046</v>
      </c>
      <c r="D28" s="380">
        <f t="shared" si="4"/>
        <v>30049.190476190477</v>
      </c>
      <c r="E28" s="380">
        <f t="shared" si="4"/>
        <v>0</v>
      </c>
      <c r="F28" s="380">
        <f t="shared" si="4"/>
        <v>0</v>
      </c>
      <c r="G28" s="380">
        <f t="shared" si="4"/>
        <v>0</v>
      </c>
      <c r="H28" s="380">
        <f t="shared" si="4"/>
        <v>0</v>
      </c>
      <c r="I28" s="666">
        <f t="shared" si="4"/>
        <v>0</v>
      </c>
      <c r="J28" s="380">
        <f>+C28+D28+E28+F28+G28+H28+I28</f>
        <v>33028.952380952382</v>
      </c>
    </row>
    <row r="29" spans="2:10" ht="15.6" thickBot="1" x14ac:dyDescent="0.3">
      <c r="B29" s="593"/>
      <c r="C29" s="381"/>
      <c r="D29" s="381"/>
      <c r="E29" s="381"/>
      <c r="F29" s="381"/>
      <c r="G29" s="381"/>
      <c r="H29" s="665"/>
      <c r="I29" s="389"/>
      <c r="J29" s="381"/>
    </row>
    <row r="30" spans="2:10" x14ac:dyDescent="0.25">
      <c r="B30" s="14" t="s">
        <v>219</v>
      </c>
    </row>
    <row r="31" spans="2:10" ht="15.6" x14ac:dyDescent="0.25">
      <c r="B31" s="864" t="s">
        <v>191</v>
      </c>
      <c r="C31" s="864"/>
      <c r="D31" s="864"/>
      <c r="E31" s="864"/>
      <c r="F31" s="864"/>
      <c r="G31" s="864"/>
      <c r="H31" s="864"/>
      <c r="I31" s="864"/>
      <c r="J31" s="864"/>
    </row>
    <row r="32" spans="2:10" ht="15.6" x14ac:dyDescent="0.25">
      <c r="B32" s="864" t="s">
        <v>137</v>
      </c>
      <c r="C32" s="864"/>
      <c r="D32" s="864"/>
      <c r="E32" s="864"/>
      <c r="F32" s="864"/>
      <c r="G32" s="864"/>
      <c r="H32" s="864"/>
      <c r="I32" s="864"/>
      <c r="J32" s="864"/>
    </row>
    <row r="33" spans="2:10" ht="15.6" x14ac:dyDescent="0.25">
      <c r="B33" s="864">
        <v>2020</v>
      </c>
      <c r="C33" s="864"/>
      <c r="D33" s="864"/>
      <c r="E33" s="864"/>
      <c r="F33" s="864"/>
      <c r="G33" s="864"/>
      <c r="H33" s="864"/>
      <c r="I33" s="864"/>
      <c r="J33" s="864"/>
    </row>
    <row r="34" spans="2:10" ht="16.2" thickBot="1" x14ac:dyDescent="0.3">
      <c r="B34" s="929" t="s">
        <v>27</v>
      </c>
      <c r="C34" s="929"/>
      <c r="D34" s="929"/>
      <c r="E34" s="929"/>
      <c r="F34" s="929"/>
      <c r="G34" s="929"/>
      <c r="H34" s="929"/>
      <c r="I34" s="929"/>
      <c r="J34" s="929"/>
    </row>
    <row r="35" spans="2:10" ht="16.2" thickBot="1" x14ac:dyDescent="0.3">
      <c r="B35" s="594" t="s">
        <v>100</v>
      </c>
      <c r="C35" s="802" t="s">
        <v>52</v>
      </c>
      <c r="D35" s="802" t="s">
        <v>123</v>
      </c>
      <c r="E35" s="802" t="s">
        <v>181</v>
      </c>
      <c r="F35" s="802" t="s">
        <v>131</v>
      </c>
      <c r="G35" s="802" t="s">
        <v>232</v>
      </c>
      <c r="H35" s="802" t="s">
        <v>233</v>
      </c>
      <c r="I35" s="594" t="s">
        <v>84</v>
      </c>
      <c r="J35" s="802" t="s">
        <v>78</v>
      </c>
    </row>
    <row r="36" spans="2:10" x14ac:dyDescent="0.25">
      <c r="B36" s="574"/>
      <c r="C36" s="377"/>
      <c r="D36" s="377"/>
      <c r="E36" s="378"/>
      <c r="F36" s="378"/>
      <c r="G36" s="378"/>
      <c r="H36" s="659"/>
      <c r="I36" s="379"/>
      <c r="J36" s="378"/>
    </row>
    <row r="37" spans="2:10" ht="15.6" x14ac:dyDescent="0.25">
      <c r="B37" s="570" t="s">
        <v>103</v>
      </c>
      <c r="C37" s="380">
        <f t="shared" ref="C37:H37" si="5">+C43+C48+C53+C58</f>
        <v>6843.6904761904771</v>
      </c>
      <c r="D37" s="380">
        <f t="shared" si="5"/>
        <v>66769.619047619053</v>
      </c>
      <c r="E37" s="380">
        <f t="shared" si="5"/>
        <v>0</v>
      </c>
      <c r="F37" s="380">
        <f t="shared" si="5"/>
        <v>0</v>
      </c>
      <c r="G37" s="380">
        <f t="shared" si="5"/>
        <v>0</v>
      </c>
      <c r="H37" s="660">
        <f t="shared" si="5"/>
        <v>0</v>
      </c>
      <c r="I37" s="666">
        <f>+I43+I48+I53+I58</f>
        <v>0</v>
      </c>
      <c r="J37" s="380">
        <f>+J43+J48+J53+J58</f>
        <v>73613.309523809527</v>
      </c>
    </row>
    <row r="38" spans="2:10" ht="15.6" thickBot="1" x14ac:dyDescent="0.3">
      <c r="B38" s="593"/>
      <c r="C38" s="381"/>
      <c r="D38" s="381"/>
      <c r="E38" s="382"/>
      <c r="F38" s="382"/>
      <c r="G38" s="382"/>
      <c r="H38" s="661"/>
      <c r="I38" s="383"/>
      <c r="J38" s="382"/>
    </row>
    <row r="39" spans="2:10" x14ac:dyDescent="0.25">
      <c r="B39" s="579"/>
      <c r="C39" s="384"/>
      <c r="D39" s="384"/>
      <c r="E39" s="385"/>
      <c r="F39" s="385"/>
      <c r="G39" s="385"/>
      <c r="H39" s="662"/>
      <c r="I39" s="386"/>
      <c r="J39" s="385"/>
    </row>
    <row r="40" spans="2:10" x14ac:dyDescent="0.25">
      <c r="B40" s="577" t="s">
        <v>86</v>
      </c>
      <c r="C40" s="387">
        <f>+'C-SH-6A ConsCombFloPesq,04-21'!C41/42</f>
        <v>569.04761904761904</v>
      </c>
      <c r="D40" s="387">
        <f>+'C-SH-6A ConsCombFloPesq,04-21'!D41/42</f>
        <v>2881.8095238095239</v>
      </c>
      <c r="E40" s="387">
        <f>+'C-SH-6A ConsCombFloPesq,04-21'!E41/42</f>
        <v>0</v>
      </c>
      <c r="F40" s="387">
        <f>+'C-SH-6A ConsCombFloPesq,04-21'!F41/42</f>
        <v>0</v>
      </c>
      <c r="G40" s="387">
        <f>+'C-SH-6A ConsCombFloPesq,04-21'!G41/42</f>
        <v>0</v>
      </c>
      <c r="H40" s="387">
        <f>+'C-SH-6A ConsCombFloPesq,04-21'!H41/42</f>
        <v>0</v>
      </c>
      <c r="I40" s="387">
        <f>+'C-SH-6A ConsCombFloPesq,04-21'!I41/42</f>
        <v>0</v>
      </c>
      <c r="J40" s="387">
        <f>+'C-SH-6A ConsCombFloPesq,04-21'!J42/42</f>
        <v>2410.5</v>
      </c>
    </row>
    <row r="41" spans="2:10" x14ac:dyDescent="0.25">
      <c r="B41" s="577" t="s">
        <v>87</v>
      </c>
      <c r="C41" s="387">
        <f>+'C-SH-6A ConsCombFloPesq,04-21'!C42/42</f>
        <v>559.52380952380952</v>
      </c>
      <c r="D41" s="387">
        <f>+'C-SH-6A ConsCombFloPesq,04-21'!D42/42</f>
        <v>1850.9761904761904</v>
      </c>
      <c r="E41" s="387">
        <f>+'C-SH-6A ConsCombFloPesq,04-21'!E42/42</f>
        <v>0</v>
      </c>
      <c r="F41" s="387">
        <f>+'C-SH-6A ConsCombFloPesq,04-21'!F42/42</f>
        <v>0</v>
      </c>
      <c r="G41" s="387">
        <f>+'C-SH-6A ConsCombFloPesq,04-21'!G42/42</f>
        <v>0</v>
      </c>
      <c r="H41" s="387">
        <f>+'C-SH-6A ConsCombFloPesq,04-21'!H42/42</f>
        <v>0</v>
      </c>
      <c r="I41" s="387">
        <f>+'C-SH-6A ConsCombFloPesq,04-21'!I42/42</f>
        <v>0</v>
      </c>
      <c r="J41" s="387">
        <f>+'C-SH-6A ConsCombFloPesq,04-21'!J43/42</f>
        <v>4042.3571428571427</v>
      </c>
    </row>
    <row r="42" spans="2:10" x14ac:dyDescent="0.25">
      <c r="B42" s="577" t="s">
        <v>88</v>
      </c>
      <c r="C42" s="387">
        <f>+'C-SH-6A ConsCombFloPesq,04-21'!C43/42</f>
        <v>796.42857142857144</v>
      </c>
      <c r="D42" s="387">
        <f>+'C-SH-6A ConsCombFloPesq,04-21'!D43/42</f>
        <v>3245.9285714285716</v>
      </c>
      <c r="E42" s="387">
        <f>+'C-SH-6A ConsCombFloPesq,04-21'!E43/42</f>
        <v>0</v>
      </c>
      <c r="F42" s="387">
        <f>+'C-SH-6A ConsCombFloPesq,04-21'!F43/42</f>
        <v>0</v>
      </c>
      <c r="G42" s="387">
        <f>+'C-SH-6A ConsCombFloPesq,04-21'!G43/42</f>
        <v>0</v>
      </c>
      <c r="H42" s="387">
        <f>+'C-SH-6A ConsCombFloPesq,04-21'!H43/42</f>
        <v>0</v>
      </c>
      <c r="I42" s="387">
        <f>+'C-SH-6A ConsCombFloPesq,04-21'!I43/42</f>
        <v>0</v>
      </c>
      <c r="J42" s="387">
        <f>+'C-SH-6A ConsCombFloPesq,04-21'!J44/42</f>
        <v>9903.7142857142862</v>
      </c>
    </row>
    <row r="43" spans="2:10" ht="15.6" x14ac:dyDescent="0.25">
      <c r="B43" s="570" t="s">
        <v>138</v>
      </c>
      <c r="C43" s="380">
        <f t="shared" ref="C43:I43" si="6">SUM(C40:C42)</f>
        <v>1925</v>
      </c>
      <c r="D43" s="380">
        <f t="shared" si="6"/>
        <v>7978.7142857142853</v>
      </c>
      <c r="E43" s="380">
        <f t="shared" si="6"/>
        <v>0</v>
      </c>
      <c r="F43" s="380">
        <f t="shared" si="6"/>
        <v>0</v>
      </c>
      <c r="G43" s="380">
        <f t="shared" si="6"/>
        <v>0</v>
      </c>
      <c r="H43" s="380">
        <f t="shared" si="6"/>
        <v>0</v>
      </c>
      <c r="I43" s="666">
        <f t="shared" si="6"/>
        <v>0</v>
      </c>
      <c r="J43" s="380">
        <f>+C43+D43+E43+F43+G43+H43+I43</f>
        <v>9903.7142857142862</v>
      </c>
    </row>
    <row r="44" spans="2:10" x14ac:dyDescent="0.25">
      <c r="B44" s="577"/>
      <c r="C44" s="387"/>
      <c r="D44" s="387"/>
      <c r="E44" s="387"/>
      <c r="F44" s="387"/>
      <c r="G44" s="387"/>
      <c r="H44" s="664"/>
      <c r="I44" s="388"/>
      <c r="J44" s="387"/>
    </row>
    <row r="45" spans="2:10" x14ac:dyDescent="0.25">
      <c r="B45" s="577" t="s">
        <v>89</v>
      </c>
      <c r="C45" s="387">
        <f>+'C-SH-6A ConsCombFloPesq,04-21'!C46/42</f>
        <v>183.33333333333334</v>
      </c>
      <c r="D45" s="387">
        <f>+'C-SH-6A ConsCombFloPesq,04-21'!D46/42</f>
        <v>2561.9047619047619</v>
      </c>
      <c r="E45" s="387">
        <f>+'C-SH-6A ConsCombFloPesq,04-21'!E46/42</f>
        <v>0</v>
      </c>
      <c r="F45" s="387">
        <f>+'C-SH-6A ConsCombFloPesq,04-21'!F46/42</f>
        <v>0</v>
      </c>
      <c r="G45" s="387">
        <f>+'C-SH-6A ConsCombFloPesq,04-21'!G46/42</f>
        <v>0</v>
      </c>
      <c r="H45" s="387">
        <f>+'C-SH-6A ConsCombFloPesq,04-21'!H46/42</f>
        <v>0</v>
      </c>
      <c r="I45" s="387">
        <f>+'C-SH-6A ConsCombFloPesq,04-21'!I46/42</f>
        <v>0</v>
      </c>
      <c r="J45" s="387">
        <f>+'C-SH-6A ConsCombFloPesq,04-21'!J47/42</f>
        <v>6759.7857142857147</v>
      </c>
    </row>
    <row r="46" spans="2:10" x14ac:dyDescent="0.25">
      <c r="B46" s="577" t="s">
        <v>90</v>
      </c>
      <c r="C46" s="387">
        <f>+'C-SH-6A ConsCombFloPesq,04-21'!C47/42</f>
        <v>347.61904761904759</v>
      </c>
      <c r="D46" s="387">
        <f>+'C-SH-6A ConsCombFloPesq,04-21'!D47/42</f>
        <v>6412.166666666667</v>
      </c>
      <c r="E46" s="387">
        <f>+'C-SH-6A ConsCombFloPesq,04-21'!E47/42</f>
        <v>0</v>
      </c>
      <c r="F46" s="387">
        <f>+'C-SH-6A ConsCombFloPesq,04-21'!F47/42</f>
        <v>0</v>
      </c>
      <c r="G46" s="387">
        <f>+'C-SH-6A ConsCombFloPesq,04-21'!G47/42</f>
        <v>0</v>
      </c>
      <c r="H46" s="387">
        <f>+'C-SH-6A ConsCombFloPesq,04-21'!H47/42</f>
        <v>0</v>
      </c>
      <c r="I46" s="387">
        <f>+'C-SH-6A ConsCombFloPesq,04-21'!I47/42</f>
        <v>0</v>
      </c>
      <c r="J46" s="387">
        <f>+'C-SH-6A ConsCombFloPesq,04-21'!J48/42</f>
        <v>13789.452380952382</v>
      </c>
    </row>
    <row r="47" spans="2:10" x14ac:dyDescent="0.25">
      <c r="B47" s="577" t="s">
        <v>91</v>
      </c>
      <c r="C47" s="387">
        <f>+'C-SH-6A ConsCombFloPesq,04-21'!C48/42</f>
        <v>540.47619047619048</v>
      </c>
      <c r="D47" s="387">
        <f>+'C-SH-6A ConsCombFloPesq,04-21'!D48/42</f>
        <v>13248.976190476191</v>
      </c>
      <c r="E47" s="387">
        <f>+'C-SH-6A ConsCombFloPesq,04-21'!E48/42</f>
        <v>0</v>
      </c>
      <c r="F47" s="387">
        <f>+'C-SH-6A ConsCombFloPesq,04-21'!F48/42</f>
        <v>0</v>
      </c>
      <c r="G47" s="387">
        <f>+'C-SH-6A ConsCombFloPesq,04-21'!G48/42</f>
        <v>0</v>
      </c>
      <c r="H47" s="387">
        <f>+'C-SH-6A ConsCombFloPesq,04-21'!H48/42</f>
        <v>0</v>
      </c>
      <c r="I47" s="387">
        <f>+'C-SH-6A ConsCombFloPesq,04-21'!I48/42</f>
        <v>0</v>
      </c>
      <c r="J47" s="387">
        <f>+'C-SH-6A ConsCombFloPesq,04-21'!J49/42</f>
        <v>23294.476190476191</v>
      </c>
    </row>
    <row r="48" spans="2:10" ht="15.6" x14ac:dyDescent="0.25">
      <c r="B48" s="570" t="s">
        <v>139</v>
      </c>
      <c r="C48" s="380">
        <f t="shared" ref="C48:I48" si="7">SUM(C45:C47)</f>
        <v>1071.4285714285716</v>
      </c>
      <c r="D48" s="380">
        <f t="shared" si="7"/>
        <v>22223.047619047618</v>
      </c>
      <c r="E48" s="380">
        <f t="shared" si="7"/>
        <v>0</v>
      </c>
      <c r="F48" s="380">
        <f t="shared" si="7"/>
        <v>0</v>
      </c>
      <c r="G48" s="380">
        <f t="shared" si="7"/>
        <v>0</v>
      </c>
      <c r="H48" s="380">
        <f t="shared" si="7"/>
        <v>0</v>
      </c>
      <c r="I48" s="666">
        <f t="shared" si="7"/>
        <v>0</v>
      </c>
      <c r="J48" s="380">
        <f>+C48+D48+E48+F48+G48+H48+I48</f>
        <v>23294.476190476191</v>
      </c>
    </row>
    <row r="49" spans="2:10" x14ac:dyDescent="0.25">
      <c r="B49" s="577"/>
      <c r="C49" s="387"/>
      <c r="D49" s="387"/>
      <c r="E49" s="387"/>
      <c r="F49" s="387"/>
      <c r="G49" s="387"/>
      <c r="H49" s="664"/>
      <c r="I49" s="388"/>
      <c r="J49" s="387"/>
    </row>
    <row r="50" spans="2:10" x14ac:dyDescent="0.25">
      <c r="B50" s="577" t="s">
        <v>93</v>
      </c>
      <c r="C50" s="387">
        <f>+'C-SH-6A ConsCombFloPesq,04-21'!C51/42</f>
        <v>252.38095238095238</v>
      </c>
      <c r="D50" s="387">
        <f>+'C-SH-6A ConsCombFloPesq,04-21'!D51/42</f>
        <v>5848.7619047619046</v>
      </c>
      <c r="E50" s="387">
        <f>+'C-SH-6A ConsCombFloPesq,04-21'!E51/42</f>
        <v>0</v>
      </c>
      <c r="F50" s="387">
        <f>+'C-SH-6A ConsCombFloPesq,04-21'!F51/42</f>
        <v>0</v>
      </c>
      <c r="G50" s="387">
        <f>+'C-SH-6A ConsCombFloPesq,04-21'!G51/42</f>
        <v>0</v>
      </c>
      <c r="H50" s="387">
        <f>+'C-SH-6A ConsCombFloPesq,04-21'!H51/42</f>
        <v>0</v>
      </c>
      <c r="I50" s="387">
        <f>+'C-SH-6A ConsCombFloPesq,04-21'!I51/42</f>
        <v>0</v>
      </c>
      <c r="J50" s="387">
        <f>+'C-SH-6A ConsCombFloPesq,04-21'!J52/42</f>
        <v>5084.333333333333</v>
      </c>
    </row>
    <row r="51" spans="2:10" x14ac:dyDescent="0.25">
      <c r="B51" s="577" t="s">
        <v>94</v>
      </c>
      <c r="C51" s="387">
        <f>+'C-SH-6A ConsCombFloPesq,04-21'!C52/42</f>
        <v>344.88095238095241</v>
      </c>
      <c r="D51" s="387">
        <f>+'C-SH-6A ConsCombFloPesq,04-21'!D52/42</f>
        <v>4739.4523809523807</v>
      </c>
      <c r="E51" s="387">
        <f>+'C-SH-6A ConsCombFloPesq,04-21'!E52/42</f>
        <v>0</v>
      </c>
      <c r="F51" s="387">
        <f>+'C-SH-6A ConsCombFloPesq,04-21'!F52/42</f>
        <v>0</v>
      </c>
      <c r="G51" s="387">
        <f>+'C-SH-6A ConsCombFloPesq,04-21'!G52/42</f>
        <v>0</v>
      </c>
      <c r="H51" s="387">
        <f>+'C-SH-6A ConsCombFloPesq,04-21'!H52/42</f>
        <v>0</v>
      </c>
      <c r="I51" s="387">
        <f>+'C-SH-6A ConsCombFloPesq,04-21'!I52/42</f>
        <v>0</v>
      </c>
      <c r="J51" s="387">
        <f>+'C-SH-6A ConsCombFloPesq,04-21'!J53/42</f>
        <v>4690.4047619047615</v>
      </c>
    </row>
    <row r="52" spans="2:10" x14ac:dyDescent="0.25">
      <c r="B52" s="577" t="s">
        <v>101</v>
      </c>
      <c r="C52" s="387">
        <f>+'C-SH-6A ConsCombFloPesq,04-21'!C53/42</f>
        <v>809.52380952380952</v>
      </c>
      <c r="D52" s="387">
        <f>+'C-SH-6A ConsCombFloPesq,04-21'!D53/42</f>
        <v>3880.8809523809523</v>
      </c>
      <c r="E52" s="387">
        <f>+'C-SH-6A ConsCombFloPesq,04-21'!E53/42</f>
        <v>0</v>
      </c>
      <c r="F52" s="387">
        <f>+'C-SH-6A ConsCombFloPesq,04-21'!F53/42</f>
        <v>0</v>
      </c>
      <c r="G52" s="387">
        <f>+'C-SH-6A ConsCombFloPesq,04-21'!G53/42</f>
        <v>0</v>
      </c>
      <c r="H52" s="387">
        <f>+'C-SH-6A ConsCombFloPesq,04-21'!H53/42</f>
        <v>0</v>
      </c>
      <c r="I52" s="387">
        <f>+'C-SH-6A ConsCombFloPesq,04-21'!I53/42</f>
        <v>0</v>
      </c>
      <c r="J52" s="387">
        <f>+'C-SH-6A ConsCombFloPesq,04-21'!J54/42</f>
        <v>15875.880952380952</v>
      </c>
    </row>
    <row r="53" spans="2:10" ht="15.6" x14ac:dyDescent="0.25">
      <c r="B53" s="570" t="s">
        <v>140</v>
      </c>
      <c r="C53" s="380">
        <f t="shared" ref="C53:I53" si="8">SUM(C50:C52)</f>
        <v>1406.7857142857142</v>
      </c>
      <c r="D53" s="380">
        <f t="shared" si="8"/>
        <v>14469.095238095239</v>
      </c>
      <c r="E53" s="380">
        <f t="shared" si="8"/>
        <v>0</v>
      </c>
      <c r="F53" s="380">
        <f t="shared" si="8"/>
        <v>0</v>
      </c>
      <c r="G53" s="380">
        <f t="shared" si="8"/>
        <v>0</v>
      </c>
      <c r="H53" s="380">
        <f t="shared" si="8"/>
        <v>0</v>
      </c>
      <c r="I53" s="666">
        <f t="shared" si="8"/>
        <v>0</v>
      </c>
      <c r="J53" s="380">
        <f>+C53+D53+E53+F53+G53+H53+I53</f>
        <v>15875.880952380952</v>
      </c>
    </row>
    <row r="54" spans="2:10" x14ac:dyDescent="0.25">
      <c r="B54" s="577"/>
      <c r="C54" s="387"/>
      <c r="D54" s="387"/>
      <c r="E54" s="387"/>
      <c r="F54" s="387"/>
      <c r="G54" s="387"/>
      <c r="H54" s="664"/>
      <c r="I54" s="388"/>
      <c r="J54" s="387"/>
    </row>
    <row r="55" spans="2:10" x14ac:dyDescent="0.25">
      <c r="B55" s="577" t="s">
        <v>95</v>
      </c>
      <c r="C55" s="387">
        <f>+'C-SH-6A ConsCombFloPesq,04-21'!C56/42</f>
        <v>997.61904761904759</v>
      </c>
      <c r="D55" s="387">
        <f>+'C-SH-6A ConsCombFloPesq,04-21'!D56/42</f>
        <v>8304.5238095238092</v>
      </c>
      <c r="E55" s="387">
        <f>+'C-SH-6A ConsCombFloPesq,04-21'!E56/42</f>
        <v>0</v>
      </c>
      <c r="F55" s="387">
        <f>+'C-SH-6A ConsCombFloPesq,04-21'!F56/42</f>
        <v>0</v>
      </c>
      <c r="G55" s="387">
        <f>+'C-SH-6A ConsCombFloPesq,04-21'!G56/42</f>
        <v>0</v>
      </c>
      <c r="H55" s="387">
        <f>+'C-SH-6A ConsCombFloPesq,04-21'!H56/42</f>
        <v>0</v>
      </c>
      <c r="I55" s="387">
        <f>+'C-SH-6A ConsCombFloPesq,04-21'!I56/42</f>
        <v>0</v>
      </c>
      <c r="J55" s="387">
        <f>+'C-SH-6A ConsCombFloPesq,04-21'!J57/42</f>
        <v>6007.7857142857147</v>
      </c>
    </row>
    <row r="56" spans="2:10" x14ac:dyDescent="0.25">
      <c r="B56" s="577" t="s">
        <v>96</v>
      </c>
      <c r="C56" s="387">
        <f>+'C-SH-6A ConsCombFloPesq,04-21'!C57/42</f>
        <v>416.66666666666669</v>
      </c>
      <c r="D56" s="387">
        <f>+'C-SH-6A ConsCombFloPesq,04-21'!D57/42</f>
        <v>5591.1190476190477</v>
      </c>
      <c r="E56" s="387">
        <f>+'C-SH-6A ConsCombFloPesq,04-21'!E57/42</f>
        <v>0</v>
      </c>
      <c r="F56" s="387">
        <f>+'C-SH-6A ConsCombFloPesq,04-21'!F57/42</f>
        <v>0</v>
      </c>
      <c r="G56" s="387">
        <f>+'C-SH-6A ConsCombFloPesq,04-21'!G57/42</f>
        <v>0</v>
      </c>
      <c r="H56" s="387">
        <f>+'C-SH-6A ConsCombFloPesq,04-21'!H57/42</f>
        <v>0</v>
      </c>
      <c r="I56" s="387">
        <f>+'C-SH-6A ConsCombFloPesq,04-21'!I57/42</f>
        <v>0</v>
      </c>
      <c r="J56" s="387">
        <f>+'C-SH-6A ConsCombFloPesq,04-21'!J58/42</f>
        <v>9229.3095238095229</v>
      </c>
    </row>
    <row r="57" spans="2:10" x14ac:dyDescent="0.25">
      <c r="B57" s="577" t="s">
        <v>97</v>
      </c>
      <c r="C57" s="387">
        <f>+'C-SH-6A ConsCombFloPesq,04-21'!C58/42</f>
        <v>1026.1904761904761</v>
      </c>
      <c r="D57" s="387">
        <f>+'C-SH-6A ConsCombFloPesq,04-21'!D58/42</f>
        <v>8203.1190476190477</v>
      </c>
      <c r="E57" s="387">
        <f>+'C-SH-6A ConsCombFloPesq,04-21'!E58/42</f>
        <v>0</v>
      </c>
      <c r="F57" s="387">
        <f>+'C-SH-6A ConsCombFloPesq,04-21'!F58/42</f>
        <v>0</v>
      </c>
      <c r="G57" s="387">
        <f>+'C-SH-6A ConsCombFloPesq,04-21'!G58/42</f>
        <v>0</v>
      </c>
      <c r="H57" s="387">
        <f>+'C-SH-6A ConsCombFloPesq,04-21'!H58/42</f>
        <v>0</v>
      </c>
      <c r="I57" s="387">
        <f>+'C-SH-6A ConsCombFloPesq,04-21'!I58/42</f>
        <v>0</v>
      </c>
      <c r="J57" s="387">
        <f>+'C-SH-6A ConsCombFloPesq,04-21'!J59/42</f>
        <v>24539.238095238095</v>
      </c>
    </row>
    <row r="58" spans="2:10" ht="15.6" x14ac:dyDescent="0.25">
      <c r="B58" s="570" t="s">
        <v>141</v>
      </c>
      <c r="C58" s="380">
        <f t="shared" ref="C58:I58" si="9">SUM(C55:C57)</f>
        <v>2440.4761904761904</v>
      </c>
      <c r="D58" s="380">
        <f t="shared" si="9"/>
        <v>22098.761904761905</v>
      </c>
      <c r="E58" s="380">
        <f t="shared" si="9"/>
        <v>0</v>
      </c>
      <c r="F58" s="380">
        <f t="shared" si="9"/>
        <v>0</v>
      </c>
      <c r="G58" s="380">
        <f t="shared" si="9"/>
        <v>0</v>
      </c>
      <c r="H58" s="380">
        <f t="shared" si="9"/>
        <v>0</v>
      </c>
      <c r="I58" s="666">
        <f t="shared" si="9"/>
        <v>0</v>
      </c>
      <c r="J58" s="380">
        <f>+C58+D58+E58+F58+G58+H58+I58</f>
        <v>24539.238095238095</v>
      </c>
    </row>
    <row r="59" spans="2:10" ht="15.6" thickBot="1" x14ac:dyDescent="0.3">
      <c r="B59" s="593"/>
      <c r="C59" s="381"/>
      <c r="D59" s="381"/>
      <c r="E59" s="381"/>
      <c r="F59" s="381"/>
      <c r="G59" s="381"/>
      <c r="H59" s="665"/>
      <c r="I59" s="389"/>
      <c r="J59" s="381"/>
    </row>
    <row r="60" spans="2:10" x14ac:dyDescent="0.25">
      <c r="B60" s="14" t="s">
        <v>219</v>
      </c>
    </row>
    <row r="62" spans="2:10" ht="15.6" x14ac:dyDescent="0.25">
      <c r="B62" s="864" t="s">
        <v>191</v>
      </c>
      <c r="C62" s="864"/>
      <c r="D62" s="864"/>
      <c r="E62" s="864"/>
      <c r="F62" s="864"/>
      <c r="G62" s="864"/>
      <c r="H62" s="864"/>
      <c r="I62" s="864"/>
      <c r="J62" s="864"/>
    </row>
    <row r="63" spans="2:10" ht="15.6" x14ac:dyDescent="0.25">
      <c r="B63" s="864" t="s">
        <v>137</v>
      </c>
      <c r="C63" s="864"/>
      <c r="D63" s="864"/>
      <c r="E63" s="864"/>
      <c r="F63" s="864"/>
      <c r="G63" s="864"/>
      <c r="H63" s="864"/>
      <c r="I63" s="864"/>
      <c r="J63" s="864"/>
    </row>
    <row r="64" spans="2:10" ht="15.6" x14ac:dyDescent="0.25">
      <c r="B64" s="864">
        <v>2019</v>
      </c>
      <c r="C64" s="864"/>
      <c r="D64" s="864"/>
      <c r="E64" s="864"/>
      <c r="F64" s="864"/>
      <c r="G64" s="864"/>
      <c r="H64" s="864"/>
      <c r="I64" s="864"/>
      <c r="J64" s="864"/>
    </row>
    <row r="65" spans="2:10" ht="16.2" thickBot="1" x14ac:dyDescent="0.3">
      <c r="B65" s="929" t="s">
        <v>27</v>
      </c>
      <c r="C65" s="929"/>
      <c r="D65" s="929"/>
      <c r="E65" s="929"/>
      <c r="F65" s="929"/>
      <c r="G65" s="929"/>
      <c r="H65" s="929"/>
      <c r="I65" s="929"/>
      <c r="J65" s="929"/>
    </row>
    <row r="66" spans="2:10" ht="16.2" thickBot="1" x14ac:dyDescent="0.3">
      <c r="B66" s="594" t="s">
        <v>100</v>
      </c>
      <c r="C66" s="786" t="s">
        <v>52</v>
      </c>
      <c r="D66" s="786" t="s">
        <v>123</v>
      </c>
      <c r="E66" s="786" t="s">
        <v>181</v>
      </c>
      <c r="F66" s="786" t="s">
        <v>131</v>
      </c>
      <c r="G66" s="786" t="s">
        <v>232</v>
      </c>
      <c r="H66" s="786" t="s">
        <v>233</v>
      </c>
      <c r="I66" s="594" t="s">
        <v>84</v>
      </c>
      <c r="J66" s="786" t="s">
        <v>78</v>
      </c>
    </row>
    <row r="67" spans="2:10" x14ac:dyDescent="0.25">
      <c r="B67" s="574"/>
      <c r="C67" s="377"/>
      <c r="D67" s="377"/>
      <c r="E67" s="378"/>
      <c r="F67" s="378"/>
      <c r="G67" s="378"/>
      <c r="H67" s="659"/>
      <c r="I67" s="379"/>
      <c r="J67" s="378"/>
    </row>
    <row r="68" spans="2:10" ht="15.6" x14ac:dyDescent="0.25">
      <c r="B68" s="570" t="s">
        <v>103</v>
      </c>
      <c r="C68" s="380">
        <f t="shared" ref="C68:H68" si="10">+C74+C79+C84+C89</f>
        <v>10896.071428571429</v>
      </c>
      <c r="D68" s="380">
        <f t="shared" si="10"/>
        <v>110728.01214285716</v>
      </c>
      <c r="E68" s="380">
        <f t="shared" si="10"/>
        <v>0</v>
      </c>
      <c r="F68" s="380">
        <f t="shared" si="10"/>
        <v>0</v>
      </c>
      <c r="G68" s="380">
        <f t="shared" si="10"/>
        <v>521.42857142857144</v>
      </c>
      <c r="H68" s="660">
        <f t="shared" si="10"/>
        <v>738.09523809523807</v>
      </c>
      <c r="I68" s="666">
        <f>+I74+I79+I84+I89</f>
        <v>0</v>
      </c>
      <c r="J68" s="380">
        <f>+J74+J79+J84+J89</f>
        <v>122883.60738095238</v>
      </c>
    </row>
    <row r="69" spans="2:10" ht="15.6" thickBot="1" x14ac:dyDescent="0.3">
      <c r="B69" s="593"/>
      <c r="C69" s="381"/>
      <c r="D69" s="381"/>
      <c r="E69" s="382"/>
      <c r="F69" s="382"/>
      <c r="G69" s="382"/>
      <c r="H69" s="661"/>
      <c r="I69" s="383"/>
      <c r="J69" s="382"/>
    </row>
    <row r="70" spans="2:10" x14ac:dyDescent="0.25">
      <c r="B70" s="579"/>
      <c r="C70" s="384"/>
      <c r="D70" s="384"/>
      <c r="E70" s="385"/>
      <c r="F70" s="385"/>
      <c r="G70" s="385"/>
      <c r="H70" s="662"/>
      <c r="I70" s="386"/>
      <c r="J70" s="385"/>
    </row>
    <row r="71" spans="2:10" x14ac:dyDescent="0.25">
      <c r="B71" s="577" t="s">
        <v>86</v>
      </c>
      <c r="C71" s="387">
        <f>+'C-SH-6A ConsCombFloPesq,04-21'!C72/42</f>
        <v>1547.2619047619048</v>
      </c>
      <c r="D71" s="387">
        <f>+'C-SH-6A ConsCombFloPesq,04-21'!D72/42</f>
        <v>25140.142857142859</v>
      </c>
      <c r="E71" s="387">
        <f>+'C-SH-6A ConsCombFloPesq,04-21'!E72/42</f>
        <v>0</v>
      </c>
      <c r="F71" s="387">
        <f>+'C-SH-6A ConsCombFloPesq,04-21'!F72/42</f>
        <v>0</v>
      </c>
      <c r="G71" s="387">
        <f>+'C-SH-6A ConsCombFloPesq,04-21'!G72/42</f>
        <v>359.52380952380952</v>
      </c>
      <c r="H71" s="387">
        <f>+'C-SH-6A ConsCombFloPesq,04-21'!H72/42</f>
        <v>357.14285714285717</v>
      </c>
      <c r="I71" s="387">
        <f>+'C-SH-6A ConsCombFloPesq,04-21'!I72/42</f>
        <v>0</v>
      </c>
      <c r="J71" s="387">
        <f>+'C-SH-6A ConsCombFloPesq,04-21'!J73/42</f>
        <v>11631.904761904761</v>
      </c>
    </row>
    <row r="72" spans="2:10" x14ac:dyDescent="0.25">
      <c r="B72" s="577" t="s">
        <v>87</v>
      </c>
      <c r="C72" s="387">
        <f>+'C-SH-6A ConsCombFloPesq,04-21'!C73/42</f>
        <v>1128.5714285714287</v>
      </c>
      <c r="D72" s="387">
        <f>+'C-SH-6A ConsCombFloPesq,04-21'!D73/42</f>
        <v>9960.4761904761908</v>
      </c>
      <c r="E72" s="387">
        <f>+'C-SH-6A ConsCombFloPesq,04-21'!E73/42</f>
        <v>0</v>
      </c>
      <c r="F72" s="387">
        <f>+'C-SH-6A ConsCombFloPesq,04-21'!F73/42</f>
        <v>0</v>
      </c>
      <c r="G72" s="387">
        <f>+'C-SH-6A ConsCombFloPesq,04-21'!G73/42</f>
        <v>161.9047619047619</v>
      </c>
      <c r="H72" s="387">
        <f>+'C-SH-6A ConsCombFloPesq,04-21'!H73/42</f>
        <v>380.95238095238096</v>
      </c>
      <c r="I72" s="387">
        <f>+'C-SH-6A ConsCombFloPesq,04-21'!I73/42</f>
        <v>0</v>
      </c>
      <c r="J72" s="387">
        <f>+'C-SH-6A ConsCombFloPesq,04-21'!J74/42</f>
        <v>5472</v>
      </c>
    </row>
    <row r="73" spans="2:10" x14ac:dyDescent="0.25">
      <c r="B73" s="577" t="s">
        <v>88</v>
      </c>
      <c r="C73" s="387">
        <f>+'C-SH-6A ConsCombFloPesq,04-21'!C74/42</f>
        <v>1060.7142857142858</v>
      </c>
      <c r="D73" s="387">
        <f>+'C-SH-6A ConsCombFloPesq,04-21'!D74/42</f>
        <v>4411.2857142857147</v>
      </c>
      <c r="E73" s="387">
        <f>+'C-SH-6A ConsCombFloPesq,04-21'!E74/42</f>
        <v>0</v>
      </c>
      <c r="F73" s="387">
        <f>+'C-SH-6A ConsCombFloPesq,04-21'!F74/42</f>
        <v>0</v>
      </c>
      <c r="G73" s="387">
        <f>+'C-SH-6A ConsCombFloPesq,04-21'!G74/42</f>
        <v>0</v>
      </c>
      <c r="H73" s="387">
        <f>+'C-SH-6A ConsCombFloPesq,04-21'!H74/42</f>
        <v>0</v>
      </c>
      <c r="I73" s="387">
        <f>+'C-SH-6A ConsCombFloPesq,04-21'!I74/42</f>
        <v>0</v>
      </c>
      <c r="J73" s="387">
        <f>+'C-SH-6A ConsCombFloPesq,04-21'!J75/42</f>
        <v>44507.976190476191</v>
      </c>
    </row>
    <row r="74" spans="2:10" ht="15.6" x14ac:dyDescent="0.25">
      <c r="B74" s="570" t="s">
        <v>138</v>
      </c>
      <c r="C74" s="380">
        <f t="shared" ref="C74:I74" si="11">SUM(C71:C73)</f>
        <v>3736.5476190476193</v>
      </c>
      <c r="D74" s="380">
        <f t="shared" si="11"/>
        <v>39511.904761904771</v>
      </c>
      <c r="E74" s="380">
        <f t="shared" si="11"/>
        <v>0</v>
      </c>
      <c r="F74" s="380">
        <f t="shared" si="11"/>
        <v>0</v>
      </c>
      <c r="G74" s="380">
        <f t="shared" si="11"/>
        <v>521.42857142857144</v>
      </c>
      <c r="H74" s="380">
        <f t="shared" si="11"/>
        <v>738.09523809523807</v>
      </c>
      <c r="I74" s="666">
        <f t="shared" si="11"/>
        <v>0</v>
      </c>
      <c r="J74" s="380">
        <f>+C74+D74+E74+F74+G74+H74+I74</f>
        <v>44507.976190476198</v>
      </c>
    </row>
    <row r="75" spans="2:10" x14ac:dyDescent="0.25">
      <c r="B75" s="577"/>
      <c r="C75" s="387"/>
      <c r="D75" s="387"/>
      <c r="E75" s="387"/>
      <c r="F75" s="387"/>
      <c r="G75" s="387"/>
      <c r="H75" s="664"/>
      <c r="I75" s="388"/>
      <c r="J75" s="387"/>
    </row>
    <row r="76" spans="2:10" x14ac:dyDescent="0.25">
      <c r="B76" s="577" t="s">
        <v>89</v>
      </c>
      <c r="C76" s="387">
        <f>+'C-SH-6A ConsCombFloPesq,04-21'!C77/42</f>
        <v>898.80952380952385</v>
      </c>
      <c r="D76" s="387">
        <f>+'C-SH-6A ConsCombFloPesq,04-21'!D77/42</f>
        <v>11392</v>
      </c>
      <c r="E76" s="387">
        <f>+'C-SH-6A ConsCombFloPesq,04-21'!E77/42</f>
        <v>0</v>
      </c>
      <c r="F76" s="387">
        <f>+'C-SH-6A ConsCombFloPesq,04-21'!F77/42</f>
        <v>0</v>
      </c>
      <c r="G76" s="387">
        <f>+'C-SH-6A ConsCombFloPesq,04-21'!G77/42</f>
        <v>0</v>
      </c>
      <c r="H76" s="387">
        <f>+'C-SH-6A ConsCombFloPesq,04-21'!H77/42</f>
        <v>0</v>
      </c>
      <c r="I76" s="387">
        <f>+'C-SH-6A ConsCombFloPesq,04-21'!I77/42</f>
        <v>0</v>
      </c>
      <c r="J76" s="387">
        <f>+'C-SH-6A ConsCombFloPesq,04-21'!J78/42</f>
        <v>10412.574047619048</v>
      </c>
    </row>
    <row r="77" spans="2:10" x14ac:dyDescent="0.25">
      <c r="B77" s="577" t="s">
        <v>90</v>
      </c>
      <c r="C77" s="387">
        <f>+'C-SH-6A ConsCombFloPesq,04-21'!C78/42</f>
        <v>789.28571428571433</v>
      </c>
      <c r="D77" s="387">
        <f>+'C-SH-6A ConsCombFloPesq,04-21'!D78/42</f>
        <v>9623.2883333333339</v>
      </c>
      <c r="E77" s="387">
        <f>+'C-SH-6A ConsCombFloPesq,04-21'!E78/42</f>
        <v>0</v>
      </c>
      <c r="F77" s="387">
        <f>+'C-SH-6A ConsCombFloPesq,04-21'!F78/42</f>
        <v>0</v>
      </c>
      <c r="G77" s="387">
        <f>+'C-SH-6A ConsCombFloPesq,04-21'!G78/42</f>
        <v>0</v>
      </c>
      <c r="H77" s="387">
        <f>+'C-SH-6A ConsCombFloPesq,04-21'!H78/42</f>
        <v>0</v>
      </c>
      <c r="I77" s="387">
        <f>+'C-SH-6A ConsCombFloPesq,04-21'!I78/42</f>
        <v>0</v>
      </c>
      <c r="J77" s="387">
        <f>+'C-SH-6A ConsCombFloPesq,04-21'!J79/42</f>
        <v>12483.333333333334</v>
      </c>
    </row>
    <row r="78" spans="2:10" x14ac:dyDescent="0.25">
      <c r="B78" s="577" t="s">
        <v>91</v>
      </c>
      <c r="C78" s="387">
        <f>+'C-SH-6A ConsCombFloPesq,04-21'!C79/42</f>
        <v>833.33333333333337</v>
      </c>
      <c r="D78" s="387">
        <f>+'C-SH-6A ConsCombFloPesq,04-21'!D79/42</f>
        <v>11650</v>
      </c>
      <c r="E78" s="387">
        <f>+'C-SH-6A ConsCombFloPesq,04-21'!E79/42</f>
        <v>0</v>
      </c>
      <c r="F78" s="387">
        <f>+'C-SH-6A ConsCombFloPesq,04-21'!F79/42</f>
        <v>0</v>
      </c>
      <c r="G78" s="387">
        <f>+'C-SH-6A ConsCombFloPesq,04-21'!G79/42</f>
        <v>0</v>
      </c>
      <c r="H78" s="387">
        <f>+'C-SH-6A ConsCombFloPesq,04-21'!H79/42</f>
        <v>0</v>
      </c>
      <c r="I78" s="387">
        <f>+'C-SH-6A ConsCombFloPesq,04-21'!I79/42</f>
        <v>0</v>
      </c>
      <c r="J78" s="387">
        <f>+'C-SH-6A ConsCombFloPesq,04-21'!J80/42</f>
        <v>35186.716904761903</v>
      </c>
    </row>
    <row r="79" spans="2:10" ht="15.6" x14ac:dyDescent="0.25">
      <c r="B79" s="570" t="s">
        <v>139</v>
      </c>
      <c r="C79" s="380">
        <f t="shared" ref="C79:I79" si="12">SUM(C76:C78)</f>
        <v>2521.4285714285716</v>
      </c>
      <c r="D79" s="380">
        <f t="shared" si="12"/>
        <v>32665.288333333334</v>
      </c>
      <c r="E79" s="380">
        <f t="shared" si="12"/>
        <v>0</v>
      </c>
      <c r="F79" s="380">
        <f t="shared" si="12"/>
        <v>0</v>
      </c>
      <c r="G79" s="380">
        <f t="shared" si="12"/>
        <v>0</v>
      </c>
      <c r="H79" s="380">
        <f t="shared" si="12"/>
        <v>0</v>
      </c>
      <c r="I79" s="666">
        <f t="shared" si="12"/>
        <v>0</v>
      </c>
      <c r="J79" s="380">
        <f>+C79+D79+E79+F79+G79+H79+I79</f>
        <v>35186.716904761903</v>
      </c>
    </row>
    <row r="80" spans="2:10" x14ac:dyDescent="0.25">
      <c r="B80" s="577"/>
      <c r="C80" s="387"/>
      <c r="D80" s="387"/>
      <c r="E80" s="387"/>
      <c r="F80" s="387"/>
      <c r="G80" s="387"/>
      <c r="H80" s="664"/>
      <c r="I80" s="388"/>
      <c r="J80" s="387"/>
    </row>
    <row r="81" spans="2:10" x14ac:dyDescent="0.25">
      <c r="B81" s="577" t="s">
        <v>93</v>
      </c>
      <c r="C81" s="387">
        <f>+'C-SH-6A ConsCombFloPesq,04-21'!C82/42</f>
        <v>966.66666666666663</v>
      </c>
      <c r="D81" s="387">
        <f>+'C-SH-6A ConsCombFloPesq,04-21'!D82/42</f>
        <v>9398.1428571428569</v>
      </c>
      <c r="E81" s="387">
        <f>+'C-SH-6A ConsCombFloPesq,04-21'!E82/42</f>
        <v>0</v>
      </c>
      <c r="F81" s="387">
        <f>+'C-SH-6A ConsCombFloPesq,04-21'!F82/42</f>
        <v>0</v>
      </c>
      <c r="G81" s="387">
        <f>+'C-SH-6A ConsCombFloPesq,04-21'!G82/42</f>
        <v>0</v>
      </c>
      <c r="H81" s="387">
        <f>+'C-SH-6A ConsCombFloPesq,04-21'!H82/42</f>
        <v>0</v>
      </c>
      <c r="I81" s="387">
        <f>+'C-SH-6A ConsCombFloPesq,04-21'!I82/42</f>
        <v>0</v>
      </c>
      <c r="J81" s="387">
        <f>+'C-SH-6A ConsCombFloPesq,04-21'!J83/42</f>
        <v>8558.7238095238099</v>
      </c>
    </row>
    <row r="82" spans="2:10" x14ac:dyDescent="0.25">
      <c r="B82" s="577" t="s">
        <v>94</v>
      </c>
      <c r="C82" s="387">
        <f>+'C-SH-6A ConsCombFloPesq,04-21'!C83/42</f>
        <v>986.90476190476193</v>
      </c>
      <c r="D82" s="387">
        <f>+'C-SH-6A ConsCombFloPesq,04-21'!D83/42</f>
        <v>7571.8190476190484</v>
      </c>
      <c r="E82" s="387">
        <f>+'C-SH-6A ConsCombFloPesq,04-21'!E83/42</f>
        <v>0</v>
      </c>
      <c r="F82" s="387">
        <f>+'C-SH-6A ConsCombFloPesq,04-21'!F83/42</f>
        <v>0</v>
      </c>
      <c r="G82" s="387">
        <f>+'C-SH-6A ConsCombFloPesq,04-21'!G83/42</f>
        <v>0</v>
      </c>
      <c r="H82" s="387">
        <f>+'C-SH-6A ConsCombFloPesq,04-21'!H83/42</f>
        <v>0</v>
      </c>
      <c r="I82" s="387">
        <f>+'C-SH-6A ConsCombFloPesq,04-21'!I83/42</f>
        <v>0</v>
      </c>
      <c r="J82" s="387">
        <f>+'C-SH-6A ConsCombFloPesq,04-21'!J84/42</f>
        <v>5912.5238095238092</v>
      </c>
    </row>
    <row r="83" spans="2:10" x14ac:dyDescent="0.25">
      <c r="B83" s="577" t="s">
        <v>101</v>
      </c>
      <c r="C83" s="387">
        <f>+'C-SH-6A ConsCombFloPesq,04-21'!C84/42</f>
        <v>778.57142857142856</v>
      </c>
      <c r="D83" s="387">
        <f>+'C-SH-6A ConsCombFloPesq,04-21'!D84/42</f>
        <v>5133.9523809523807</v>
      </c>
      <c r="E83" s="387">
        <f>+'C-SH-6A ConsCombFloPesq,04-21'!E84/42</f>
        <v>0</v>
      </c>
      <c r="F83" s="387">
        <f>+'C-SH-6A ConsCombFloPesq,04-21'!F84/42</f>
        <v>0</v>
      </c>
      <c r="G83" s="387">
        <f>+'C-SH-6A ConsCombFloPesq,04-21'!G84/42</f>
        <v>0</v>
      </c>
      <c r="H83" s="387">
        <f>+'C-SH-6A ConsCombFloPesq,04-21'!H84/42</f>
        <v>0</v>
      </c>
      <c r="I83" s="387">
        <f>+'C-SH-6A ConsCombFloPesq,04-21'!I84/42</f>
        <v>0</v>
      </c>
      <c r="J83" s="387">
        <f>+'C-SH-6A ConsCombFloPesq,04-21'!J85/42</f>
        <v>24836.057142857142</v>
      </c>
    </row>
    <row r="84" spans="2:10" ht="15.6" x14ac:dyDescent="0.25">
      <c r="B84" s="570" t="s">
        <v>140</v>
      </c>
      <c r="C84" s="380">
        <f t="shared" ref="C84:I84" si="13">SUM(C81:C83)</f>
        <v>2732.1428571428569</v>
      </c>
      <c r="D84" s="380">
        <f t="shared" si="13"/>
        <v>22103.914285714287</v>
      </c>
      <c r="E84" s="380">
        <f t="shared" si="13"/>
        <v>0</v>
      </c>
      <c r="F84" s="380">
        <f t="shared" si="13"/>
        <v>0</v>
      </c>
      <c r="G84" s="380">
        <f t="shared" si="13"/>
        <v>0</v>
      </c>
      <c r="H84" s="380">
        <f t="shared" si="13"/>
        <v>0</v>
      </c>
      <c r="I84" s="666">
        <f t="shared" si="13"/>
        <v>0</v>
      </c>
      <c r="J84" s="380">
        <f>+C84+D84+E84+F84+G84+H84+I84</f>
        <v>24836.057142857142</v>
      </c>
    </row>
    <row r="85" spans="2:10" x14ac:dyDescent="0.25">
      <c r="B85" s="577"/>
      <c r="C85" s="387"/>
      <c r="D85" s="387"/>
      <c r="E85" s="387"/>
      <c r="F85" s="387"/>
      <c r="G85" s="387"/>
      <c r="H85" s="664"/>
      <c r="I85" s="388"/>
      <c r="J85" s="387"/>
    </row>
    <row r="86" spans="2:10" x14ac:dyDescent="0.25">
      <c r="B86" s="577" t="s">
        <v>95</v>
      </c>
      <c r="C86" s="387">
        <f>+'C-SH-6A ConsCombFloPesq,04-21'!C87/42</f>
        <v>703.57142857142856</v>
      </c>
      <c r="D86" s="387">
        <f>+'C-SH-6A ConsCombFloPesq,04-21'!D87/42</f>
        <v>10965.476190476191</v>
      </c>
      <c r="E86" s="387">
        <f>+'C-SH-6A ConsCombFloPesq,04-21'!E87/42</f>
        <v>0</v>
      </c>
      <c r="F86" s="387">
        <f>+'C-SH-6A ConsCombFloPesq,04-21'!F87/42</f>
        <v>0</v>
      </c>
      <c r="G86" s="387">
        <f>+'C-SH-6A ConsCombFloPesq,04-21'!G87/42</f>
        <v>0</v>
      </c>
      <c r="H86" s="387">
        <f>+'C-SH-6A ConsCombFloPesq,04-21'!H87/42</f>
        <v>0</v>
      </c>
      <c r="I86" s="387">
        <f>+'C-SH-6A ConsCombFloPesq,04-21'!I87/42</f>
        <v>0</v>
      </c>
      <c r="J86" s="387">
        <f>+'C-SH-6A ConsCombFloPesq,04-21'!J88/42</f>
        <v>3961.2857142857142</v>
      </c>
    </row>
    <row r="87" spans="2:10" x14ac:dyDescent="0.25">
      <c r="B87" s="577" t="s">
        <v>96</v>
      </c>
      <c r="C87" s="387">
        <f>+'C-SH-6A ConsCombFloPesq,04-21'!C88/42</f>
        <v>630.95238095238096</v>
      </c>
      <c r="D87" s="387">
        <f>+'C-SH-6A ConsCombFloPesq,04-21'!D88/42</f>
        <v>3330.3333333333335</v>
      </c>
      <c r="E87" s="387">
        <f>+'C-SH-6A ConsCombFloPesq,04-21'!E88/42</f>
        <v>0</v>
      </c>
      <c r="F87" s="387">
        <f>+'C-SH-6A ConsCombFloPesq,04-21'!F88/42</f>
        <v>0</v>
      </c>
      <c r="G87" s="387">
        <f>+'C-SH-6A ConsCombFloPesq,04-21'!G88/42</f>
        <v>0</v>
      </c>
      <c r="H87" s="387">
        <f>+'C-SH-6A ConsCombFloPesq,04-21'!H88/42</f>
        <v>0</v>
      </c>
      <c r="I87" s="387">
        <f>+'C-SH-6A ConsCombFloPesq,04-21'!I88/42</f>
        <v>0</v>
      </c>
      <c r="J87" s="387">
        <f>+'C-SH-6A ConsCombFloPesq,04-21'!J89/42</f>
        <v>2722.5238095238096</v>
      </c>
    </row>
    <row r="88" spans="2:10" x14ac:dyDescent="0.25">
      <c r="B88" s="577" t="s">
        <v>97</v>
      </c>
      <c r="C88" s="387">
        <f>+'C-SH-6A ConsCombFloPesq,04-21'!C89/42</f>
        <v>571.42857142857144</v>
      </c>
      <c r="D88" s="387">
        <f>+'C-SH-6A ConsCombFloPesq,04-21'!D89/42</f>
        <v>2151.0952380952381</v>
      </c>
      <c r="E88" s="387">
        <f>+'C-SH-6A ConsCombFloPesq,04-21'!E89/42</f>
        <v>0</v>
      </c>
      <c r="F88" s="387">
        <f>+'C-SH-6A ConsCombFloPesq,04-21'!F89/42</f>
        <v>0</v>
      </c>
      <c r="G88" s="387">
        <f>+'C-SH-6A ConsCombFloPesq,04-21'!G89/42</f>
        <v>0</v>
      </c>
      <c r="H88" s="387">
        <f>+'C-SH-6A ConsCombFloPesq,04-21'!H89/42</f>
        <v>0</v>
      </c>
      <c r="I88" s="387">
        <f>+'C-SH-6A ConsCombFloPesq,04-21'!I89/42</f>
        <v>0</v>
      </c>
      <c r="J88" s="387">
        <f>+'C-SH-6A ConsCombFloPesq,04-21'!J90/42</f>
        <v>18352.857142857141</v>
      </c>
    </row>
    <row r="89" spans="2:10" ht="15.6" x14ac:dyDescent="0.25">
      <c r="B89" s="570" t="s">
        <v>141</v>
      </c>
      <c r="C89" s="380">
        <f t="shared" ref="C89:I89" si="14">SUM(C86:C88)</f>
        <v>1905.9523809523812</v>
      </c>
      <c r="D89" s="380">
        <f t="shared" si="14"/>
        <v>16446.904761904763</v>
      </c>
      <c r="E89" s="380">
        <f t="shared" si="14"/>
        <v>0</v>
      </c>
      <c r="F89" s="380">
        <f t="shared" si="14"/>
        <v>0</v>
      </c>
      <c r="G89" s="380">
        <f t="shared" si="14"/>
        <v>0</v>
      </c>
      <c r="H89" s="380">
        <f t="shared" si="14"/>
        <v>0</v>
      </c>
      <c r="I89" s="666">
        <f t="shared" si="14"/>
        <v>0</v>
      </c>
      <c r="J89" s="380">
        <f>+C89+D89+E89+F89+G89+H89+I89</f>
        <v>18352.857142857145</v>
      </c>
    </row>
    <row r="90" spans="2:10" ht="15.6" thickBot="1" x14ac:dyDescent="0.3">
      <c r="B90" s="593"/>
      <c r="C90" s="381"/>
      <c r="D90" s="381"/>
      <c r="E90" s="381"/>
      <c r="F90" s="381"/>
      <c r="G90" s="381"/>
      <c r="H90" s="665"/>
      <c r="I90" s="389"/>
      <c r="J90" s="381"/>
    </row>
    <row r="91" spans="2:10" x14ac:dyDescent="0.25">
      <c r="B91" s="14" t="s">
        <v>219</v>
      </c>
    </row>
    <row r="93" spans="2:10" ht="15.6" x14ac:dyDescent="0.25">
      <c r="B93" s="864" t="s">
        <v>191</v>
      </c>
      <c r="C93" s="864"/>
      <c r="D93" s="864"/>
      <c r="E93" s="864"/>
      <c r="F93" s="864"/>
      <c r="G93" s="864"/>
      <c r="H93" s="864"/>
      <c r="I93" s="864"/>
      <c r="J93" s="864"/>
    </row>
    <row r="94" spans="2:10" ht="15.6" x14ac:dyDescent="0.25">
      <c r="B94" s="864" t="s">
        <v>137</v>
      </c>
      <c r="C94" s="864"/>
      <c r="D94" s="864"/>
      <c r="E94" s="864"/>
      <c r="F94" s="864"/>
      <c r="G94" s="864"/>
      <c r="H94" s="864"/>
      <c r="I94" s="864"/>
      <c r="J94" s="864"/>
    </row>
    <row r="95" spans="2:10" ht="15.6" x14ac:dyDescent="0.25">
      <c r="B95" s="864">
        <v>2018</v>
      </c>
      <c r="C95" s="864"/>
      <c r="D95" s="864"/>
      <c r="E95" s="864"/>
      <c r="F95" s="864"/>
      <c r="G95" s="864"/>
      <c r="H95" s="864"/>
      <c r="I95" s="864"/>
      <c r="J95" s="864"/>
    </row>
    <row r="96" spans="2:10" ht="16.2" thickBot="1" x14ac:dyDescent="0.3">
      <c r="B96" s="929" t="s">
        <v>27</v>
      </c>
      <c r="C96" s="929"/>
      <c r="D96" s="929"/>
      <c r="E96" s="929"/>
      <c r="F96" s="929"/>
      <c r="G96" s="929"/>
      <c r="H96" s="929"/>
      <c r="I96" s="929"/>
      <c r="J96" s="929"/>
    </row>
    <row r="97" spans="2:10" ht="16.2" thickBot="1" x14ac:dyDescent="0.3">
      <c r="B97" s="594" t="s">
        <v>100</v>
      </c>
      <c r="C97" s="766" t="s">
        <v>52</v>
      </c>
      <c r="D97" s="766" t="s">
        <v>123</v>
      </c>
      <c r="E97" s="766" t="s">
        <v>181</v>
      </c>
      <c r="F97" s="766" t="s">
        <v>131</v>
      </c>
      <c r="G97" s="766" t="s">
        <v>232</v>
      </c>
      <c r="H97" s="766" t="s">
        <v>233</v>
      </c>
      <c r="I97" s="594" t="s">
        <v>84</v>
      </c>
      <c r="J97" s="766" t="s">
        <v>78</v>
      </c>
    </row>
    <row r="98" spans="2:10" x14ac:dyDescent="0.25">
      <c r="B98" s="574"/>
      <c r="C98" s="377"/>
      <c r="D98" s="377"/>
      <c r="E98" s="378"/>
      <c r="F98" s="378"/>
      <c r="G98" s="378"/>
      <c r="H98" s="659"/>
      <c r="I98" s="379"/>
      <c r="J98" s="378"/>
    </row>
    <row r="99" spans="2:10" ht="15.6" x14ac:dyDescent="0.25">
      <c r="B99" s="570" t="s">
        <v>103</v>
      </c>
      <c r="C99" s="380">
        <f t="shared" ref="C99:H99" si="15">+C105+C110+C115+C120</f>
        <v>6750.9523809523807</v>
      </c>
      <c r="D99" s="380">
        <f t="shared" si="15"/>
        <v>87618.583333333343</v>
      </c>
      <c r="E99" s="380">
        <f t="shared" si="15"/>
        <v>0</v>
      </c>
      <c r="F99" s="380">
        <f t="shared" si="15"/>
        <v>0</v>
      </c>
      <c r="G99" s="380">
        <f t="shared" si="15"/>
        <v>35.714285714285715</v>
      </c>
      <c r="H99" s="660">
        <f t="shared" si="15"/>
        <v>190.47619047619048</v>
      </c>
      <c r="I99" s="666">
        <f>+I105+I110+I115+I120</f>
        <v>0</v>
      </c>
      <c r="J99" s="380">
        <f>+J105+J110+J115+J120</f>
        <v>94595.726190476198</v>
      </c>
    </row>
    <row r="100" spans="2:10" ht="15.6" thickBot="1" x14ac:dyDescent="0.3">
      <c r="B100" s="593"/>
      <c r="C100" s="381"/>
      <c r="D100" s="381"/>
      <c r="E100" s="382"/>
      <c r="F100" s="382"/>
      <c r="G100" s="382"/>
      <c r="H100" s="661"/>
      <c r="I100" s="383"/>
      <c r="J100" s="382"/>
    </row>
    <row r="101" spans="2:10" x14ac:dyDescent="0.25">
      <c r="B101" s="579"/>
      <c r="C101" s="384"/>
      <c r="D101" s="384"/>
      <c r="E101" s="385"/>
      <c r="F101" s="385"/>
      <c r="G101" s="385"/>
      <c r="H101" s="662"/>
      <c r="I101" s="386"/>
      <c r="J101" s="385"/>
    </row>
    <row r="102" spans="2:10" x14ac:dyDescent="0.25">
      <c r="B102" s="577" t="s">
        <v>86</v>
      </c>
      <c r="C102" s="387">
        <f>+'C-SH-6A ConsCombFloPesq,04-21'!C103/42</f>
        <v>761.19047619047615</v>
      </c>
      <c r="D102" s="387">
        <f>+'C-SH-6A ConsCombFloPesq,04-21'!D103/42</f>
        <v>12933.714285714286</v>
      </c>
      <c r="E102" s="387">
        <f>+'C-SH-6A ConsCombFloPesq,04-21'!E103/42</f>
        <v>0</v>
      </c>
      <c r="F102" s="387">
        <f>+'C-SH-6A ConsCombFloPesq,04-21'!F103/42</f>
        <v>0</v>
      </c>
      <c r="G102" s="387">
        <f>+'C-SH-6A ConsCombFloPesq,04-21'!G103/42</f>
        <v>0</v>
      </c>
      <c r="H102" s="387">
        <f>+'C-SH-6A ConsCombFloPesq,04-21'!H103/42</f>
        <v>0</v>
      </c>
      <c r="I102" s="387">
        <f>+'C-SH-6A ConsCombFloPesq,04-21'!I103/42</f>
        <v>0</v>
      </c>
      <c r="J102" s="387">
        <f>+'C-SH-6A ConsCombFloPesq,04-21'!J104/42</f>
        <v>4817.0476190476193</v>
      </c>
    </row>
    <row r="103" spans="2:10" x14ac:dyDescent="0.25">
      <c r="B103" s="577" t="s">
        <v>87</v>
      </c>
      <c r="C103" s="387">
        <f>+'C-SH-6A ConsCombFloPesq,04-21'!C104/42</f>
        <v>646.42857142857144</v>
      </c>
      <c r="D103" s="387">
        <f>+'C-SH-6A ConsCombFloPesq,04-21'!D104/42</f>
        <v>4170.6190476190477</v>
      </c>
      <c r="E103" s="387">
        <f>+'C-SH-6A ConsCombFloPesq,04-21'!E104/42</f>
        <v>0</v>
      </c>
      <c r="F103" s="387">
        <f>+'C-SH-6A ConsCombFloPesq,04-21'!F104/42</f>
        <v>0</v>
      </c>
      <c r="G103" s="387">
        <f>+'C-SH-6A ConsCombFloPesq,04-21'!G104/42</f>
        <v>0</v>
      </c>
      <c r="H103" s="387">
        <f>+'C-SH-6A ConsCombFloPesq,04-21'!H104/42</f>
        <v>0</v>
      </c>
      <c r="I103" s="387">
        <f>+'C-SH-6A ConsCombFloPesq,04-21'!I104/42</f>
        <v>0</v>
      </c>
      <c r="J103" s="387">
        <f>+'C-SH-6A ConsCombFloPesq,04-21'!J105/42</f>
        <v>5523.195238095238</v>
      </c>
    </row>
    <row r="104" spans="2:10" x14ac:dyDescent="0.25">
      <c r="B104" s="577" t="s">
        <v>88</v>
      </c>
      <c r="C104" s="387">
        <f>+'C-SH-6A ConsCombFloPesq,04-21'!C105/42</f>
        <v>932.61904761904759</v>
      </c>
      <c r="D104" s="387">
        <f>+'C-SH-6A ConsCombFloPesq,04-21'!D105/42</f>
        <v>4590.5761904761912</v>
      </c>
      <c r="E104" s="387">
        <f>+'C-SH-6A ConsCombFloPesq,04-21'!E105/42</f>
        <v>0</v>
      </c>
      <c r="F104" s="387">
        <f>+'C-SH-6A ConsCombFloPesq,04-21'!F105/42</f>
        <v>0</v>
      </c>
      <c r="G104" s="387">
        <f>+'C-SH-6A ConsCombFloPesq,04-21'!G105/42</f>
        <v>0</v>
      </c>
      <c r="H104" s="387">
        <f>+'C-SH-6A ConsCombFloPesq,04-21'!H105/42</f>
        <v>0</v>
      </c>
      <c r="I104" s="387">
        <f>+'C-SH-6A ConsCombFloPesq,04-21'!I105/42</f>
        <v>0</v>
      </c>
      <c r="J104" s="387">
        <f>+'C-SH-6A ConsCombFloPesq,04-21'!J106/42</f>
        <v>24035.147619047617</v>
      </c>
    </row>
    <row r="105" spans="2:10" ht="15.6" x14ac:dyDescent="0.25">
      <c r="B105" s="570" t="s">
        <v>138</v>
      </c>
      <c r="C105" s="380">
        <f t="shared" ref="C105:I105" si="16">SUM(C102:C104)</f>
        <v>2340.2380952380954</v>
      </c>
      <c r="D105" s="380">
        <f t="shared" si="16"/>
        <v>21694.909523809525</v>
      </c>
      <c r="E105" s="380">
        <f t="shared" si="16"/>
        <v>0</v>
      </c>
      <c r="F105" s="380">
        <f t="shared" si="16"/>
        <v>0</v>
      </c>
      <c r="G105" s="380">
        <f t="shared" si="16"/>
        <v>0</v>
      </c>
      <c r="H105" s="380">
        <f t="shared" si="16"/>
        <v>0</v>
      </c>
      <c r="I105" s="666">
        <f t="shared" si="16"/>
        <v>0</v>
      </c>
      <c r="J105" s="380">
        <f>+C105+D105+E105+F105+G105+H105+I105</f>
        <v>24035.147619047621</v>
      </c>
    </row>
    <row r="106" spans="2:10" x14ac:dyDescent="0.25">
      <c r="B106" s="577"/>
      <c r="C106" s="387"/>
      <c r="D106" s="387"/>
      <c r="E106" s="387"/>
      <c r="F106" s="387"/>
      <c r="G106" s="387"/>
      <c r="H106" s="664"/>
      <c r="I106" s="388"/>
      <c r="J106" s="387"/>
    </row>
    <row r="107" spans="2:10" x14ac:dyDescent="0.25">
      <c r="B107" s="577" t="s">
        <v>89</v>
      </c>
      <c r="C107" s="387">
        <f>+'C-SH-6A ConsCombFloPesq,04-21'!C108/42</f>
        <v>775</v>
      </c>
      <c r="D107" s="387">
        <f>+'C-SH-6A ConsCombFloPesq,04-21'!D108/42</f>
        <v>8685.9523809523816</v>
      </c>
      <c r="E107" s="387">
        <f>+'C-SH-6A ConsCombFloPesq,04-21'!E108/42</f>
        <v>0</v>
      </c>
      <c r="F107" s="387">
        <f>+'C-SH-6A ConsCombFloPesq,04-21'!F108/42</f>
        <v>0</v>
      </c>
      <c r="G107" s="387">
        <f>+'C-SH-6A ConsCombFloPesq,04-21'!G108/42</f>
        <v>0</v>
      </c>
      <c r="H107" s="387">
        <f>+'C-SH-6A ConsCombFloPesq,04-21'!H108/42</f>
        <v>0</v>
      </c>
      <c r="I107" s="387">
        <f>+'C-SH-6A ConsCombFloPesq,04-21'!I108/42</f>
        <v>0</v>
      </c>
      <c r="J107" s="387">
        <f>+'C-SH-6A ConsCombFloPesq,04-21'!J109/42</f>
        <v>9424.6190476190477</v>
      </c>
    </row>
    <row r="108" spans="2:10" x14ac:dyDescent="0.25">
      <c r="B108" s="577" t="s">
        <v>90</v>
      </c>
      <c r="C108" s="387">
        <f>+'C-SH-6A ConsCombFloPesq,04-21'!C109/42</f>
        <v>764.28571428571433</v>
      </c>
      <c r="D108" s="387">
        <f>+'C-SH-6A ConsCombFloPesq,04-21'!D109/42</f>
        <v>8660.3333333333339</v>
      </c>
      <c r="E108" s="387">
        <f>+'C-SH-6A ConsCombFloPesq,04-21'!E109/42</f>
        <v>0</v>
      </c>
      <c r="F108" s="387">
        <f>+'C-SH-6A ConsCombFloPesq,04-21'!F109/42</f>
        <v>0</v>
      </c>
      <c r="G108" s="387">
        <f>+'C-SH-6A ConsCombFloPesq,04-21'!G109/42</f>
        <v>0</v>
      </c>
      <c r="H108" s="387">
        <f>+'C-SH-6A ConsCombFloPesq,04-21'!H109/42</f>
        <v>0</v>
      </c>
      <c r="I108" s="387">
        <f>+'C-SH-6A ConsCombFloPesq,04-21'!I109/42</f>
        <v>0</v>
      </c>
      <c r="J108" s="387">
        <f>+'C-SH-6A ConsCombFloPesq,04-21'!J110/42</f>
        <v>8325.3809523809523</v>
      </c>
    </row>
    <row r="109" spans="2:10" x14ac:dyDescent="0.25">
      <c r="B109" s="577" t="s">
        <v>91</v>
      </c>
      <c r="C109" s="387">
        <f>+'C-SH-6A ConsCombFloPesq,04-21'!C110/42</f>
        <v>629.76190476190482</v>
      </c>
      <c r="D109" s="387">
        <f>+'C-SH-6A ConsCombFloPesq,04-21'!D110/42</f>
        <v>7695.6190476190477</v>
      </c>
      <c r="E109" s="387">
        <f>+'C-SH-6A ConsCombFloPesq,04-21'!E110/42</f>
        <v>0</v>
      </c>
      <c r="F109" s="387">
        <f>+'C-SH-6A ConsCombFloPesq,04-21'!F110/42</f>
        <v>0</v>
      </c>
      <c r="G109" s="387">
        <f>+'C-SH-6A ConsCombFloPesq,04-21'!G110/42</f>
        <v>0</v>
      </c>
      <c r="H109" s="387">
        <f>+'C-SH-6A ConsCombFloPesq,04-21'!H110/42</f>
        <v>0</v>
      </c>
      <c r="I109" s="387">
        <f>+'C-SH-6A ConsCombFloPesq,04-21'!I110/42</f>
        <v>0</v>
      </c>
      <c r="J109" s="387">
        <f>+'C-SH-6A ConsCombFloPesq,04-21'!J111/42</f>
        <v>27210.952380952382</v>
      </c>
    </row>
    <row r="110" spans="2:10" ht="15.6" x14ac:dyDescent="0.25">
      <c r="B110" s="570" t="s">
        <v>139</v>
      </c>
      <c r="C110" s="380">
        <f t="shared" ref="C110:I110" si="17">SUM(C107:C109)</f>
        <v>2169.0476190476193</v>
      </c>
      <c r="D110" s="380">
        <f t="shared" si="17"/>
        <v>25041.904761904763</v>
      </c>
      <c r="E110" s="380">
        <f t="shared" si="17"/>
        <v>0</v>
      </c>
      <c r="F110" s="380">
        <f t="shared" si="17"/>
        <v>0</v>
      </c>
      <c r="G110" s="380">
        <f t="shared" si="17"/>
        <v>0</v>
      </c>
      <c r="H110" s="380">
        <f t="shared" si="17"/>
        <v>0</v>
      </c>
      <c r="I110" s="666">
        <f t="shared" si="17"/>
        <v>0</v>
      </c>
      <c r="J110" s="380">
        <f>+C110+D110+E110+F110+G110+H110+I110</f>
        <v>27210.952380952382</v>
      </c>
    </row>
    <row r="111" spans="2:10" x14ac:dyDescent="0.25">
      <c r="B111" s="577"/>
      <c r="C111" s="387"/>
      <c r="D111" s="387"/>
      <c r="E111" s="387"/>
      <c r="F111" s="387"/>
      <c r="G111" s="387"/>
      <c r="H111" s="664"/>
      <c r="I111" s="388"/>
      <c r="J111" s="387"/>
    </row>
    <row r="112" spans="2:10" x14ac:dyDescent="0.25">
      <c r="B112" s="577" t="s">
        <v>93</v>
      </c>
      <c r="C112" s="387">
        <f>+'C-SH-6A ConsCombFloPesq,04-21'!C113/42</f>
        <v>602.38095238095241</v>
      </c>
      <c r="D112" s="387">
        <f>+'C-SH-6A ConsCombFloPesq,04-21'!D113/42</f>
        <v>4851.7380952380954</v>
      </c>
      <c r="E112" s="387">
        <f>+'C-SH-6A ConsCombFloPesq,04-21'!E113/42</f>
        <v>0</v>
      </c>
      <c r="F112" s="387">
        <f>+'C-SH-6A ConsCombFloPesq,04-21'!F113/42</f>
        <v>0</v>
      </c>
      <c r="G112" s="387">
        <f>+'C-SH-6A ConsCombFloPesq,04-21'!G113/42</f>
        <v>0</v>
      </c>
      <c r="H112" s="387">
        <f>+'C-SH-6A ConsCombFloPesq,04-21'!H113/42</f>
        <v>0</v>
      </c>
      <c r="I112" s="387">
        <f>+'C-SH-6A ConsCombFloPesq,04-21'!I113/42</f>
        <v>0</v>
      </c>
      <c r="J112" s="387">
        <f>+'C-SH-6A ConsCombFloPesq,04-21'!J114/42</f>
        <v>5226.0714285714284</v>
      </c>
    </row>
    <row r="113" spans="2:10" x14ac:dyDescent="0.25">
      <c r="B113" s="577" t="s">
        <v>94</v>
      </c>
      <c r="C113" s="387">
        <f>+'C-SH-6A ConsCombFloPesq,04-21'!C114/42</f>
        <v>116.66666666666667</v>
      </c>
      <c r="D113" s="387">
        <f>+'C-SH-6A ConsCombFloPesq,04-21'!D114/42</f>
        <v>5109.4047619047615</v>
      </c>
      <c r="E113" s="387">
        <f>+'C-SH-6A ConsCombFloPesq,04-21'!E114/42</f>
        <v>0</v>
      </c>
      <c r="F113" s="387">
        <f>+'C-SH-6A ConsCombFloPesq,04-21'!F114/42</f>
        <v>0</v>
      </c>
      <c r="G113" s="387">
        <f>+'C-SH-6A ConsCombFloPesq,04-21'!G114/42</f>
        <v>0</v>
      </c>
      <c r="H113" s="387">
        <f>+'C-SH-6A ConsCombFloPesq,04-21'!H114/42</f>
        <v>0</v>
      </c>
      <c r="I113" s="387">
        <f>+'C-SH-6A ConsCombFloPesq,04-21'!I114/42</f>
        <v>0</v>
      </c>
      <c r="J113" s="387">
        <f>+'C-SH-6A ConsCombFloPesq,04-21'!J115/42</f>
        <v>2279.0476190476193</v>
      </c>
    </row>
    <row r="114" spans="2:10" x14ac:dyDescent="0.25">
      <c r="B114" s="577" t="s">
        <v>101</v>
      </c>
      <c r="C114" s="387">
        <f>+'C-SH-6A ConsCombFloPesq,04-21'!C115/42</f>
        <v>111.9047619047619</v>
      </c>
      <c r="D114" s="387">
        <f>+'C-SH-6A ConsCombFloPesq,04-21'!D115/42</f>
        <v>2167.1428571428573</v>
      </c>
      <c r="E114" s="387">
        <f>+'C-SH-6A ConsCombFloPesq,04-21'!E115/42</f>
        <v>0</v>
      </c>
      <c r="F114" s="387">
        <f>+'C-SH-6A ConsCombFloPesq,04-21'!F115/42</f>
        <v>0</v>
      </c>
      <c r="G114" s="387">
        <f>+'C-SH-6A ConsCombFloPesq,04-21'!G115/42</f>
        <v>0</v>
      </c>
      <c r="H114" s="387">
        <f>+'C-SH-6A ConsCombFloPesq,04-21'!H115/42</f>
        <v>0</v>
      </c>
      <c r="I114" s="387">
        <f>+'C-SH-6A ConsCombFloPesq,04-21'!I115/42</f>
        <v>0</v>
      </c>
      <c r="J114" s="387">
        <f>+'C-SH-6A ConsCombFloPesq,04-21'!J116/42</f>
        <v>12959.238095238095</v>
      </c>
    </row>
    <row r="115" spans="2:10" ht="15.6" x14ac:dyDescent="0.25">
      <c r="B115" s="570" t="s">
        <v>140</v>
      </c>
      <c r="C115" s="380">
        <f t="shared" ref="C115:I115" si="18">SUM(C112:C114)</f>
        <v>830.95238095238096</v>
      </c>
      <c r="D115" s="380">
        <f t="shared" si="18"/>
        <v>12128.285714285714</v>
      </c>
      <c r="E115" s="380">
        <f t="shared" si="18"/>
        <v>0</v>
      </c>
      <c r="F115" s="380">
        <f t="shared" si="18"/>
        <v>0</v>
      </c>
      <c r="G115" s="380">
        <f t="shared" si="18"/>
        <v>0</v>
      </c>
      <c r="H115" s="380">
        <f t="shared" si="18"/>
        <v>0</v>
      </c>
      <c r="I115" s="666">
        <f t="shared" si="18"/>
        <v>0</v>
      </c>
      <c r="J115" s="380">
        <f>+C115+D115+E115+F115+G115+H115+I115</f>
        <v>12959.238095238095</v>
      </c>
    </row>
    <row r="116" spans="2:10" x14ac:dyDescent="0.25">
      <c r="B116" s="577"/>
      <c r="C116" s="387"/>
      <c r="D116" s="387"/>
      <c r="E116" s="387"/>
      <c r="F116" s="387"/>
      <c r="G116" s="387"/>
      <c r="H116" s="664"/>
      <c r="I116" s="388"/>
      <c r="J116" s="387"/>
    </row>
    <row r="117" spans="2:10" x14ac:dyDescent="0.25">
      <c r="B117" s="577" t="s">
        <v>95</v>
      </c>
      <c r="C117" s="387">
        <f>+'C-SH-6A ConsCombFloPesq,04-21'!C118/42</f>
        <v>95.238095238095241</v>
      </c>
      <c r="D117" s="387">
        <f>+'C-SH-6A ConsCombFloPesq,04-21'!D118/42</f>
        <v>6385.7380952380954</v>
      </c>
      <c r="E117" s="387">
        <f>+'C-SH-6A ConsCombFloPesq,04-21'!E118/42</f>
        <v>0</v>
      </c>
      <c r="F117" s="387">
        <f>+'C-SH-6A ConsCombFloPesq,04-21'!F118/42</f>
        <v>0</v>
      </c>
      <c r="G117" s="387">
        <f>+'C-SH-6A ConsCombFloPesq,04-21'!G118/42</f>
        <v>0</v>
      </c>
      <c r="H117" s="387">
        <f>+'C-SH-6A ConsCombFloPesq,04-21'!H118/42</f>
        <v>0</v>
      </c>
      <c r="I117" s="387">
        <f>+'C-SH-6A ConsCombFloPesq,04-21'!I118/42</f>
        <v>0</v>
      </c>
      <c r="J117" s="387">
        <f>+'C-SH-6A ConsCombFloPesq,04-21'!J119/42</f>
        <v>4375.5714285714284</v>
      </c>
    </row>
    <row r="118" spans="2:10" x14ac:dyDescent="0.25">
      <c r="B118" s="577" t="s">
        <v>96</v>
      </c>
      <c r="C118" s="387">
        <f>+'C-SH-6A ConsCombFloPesq,04-21'!C119/42</f>
        <v>119.04761904761905</v>
      </c>
      <c r="D118" s="387">
        <f>+'C-SH-6A ConsCombFloPesq,04-21'!D119/42</f>
        <v>4256.5238095238092</v>
      </c>
      <c r="E118" s="387">
        <f>+'C-SH-6A ConsCombFloPesq,04-21'!E119/42</f>
        <v>0</v>
      </c>
      <c r="F118" s="387">
        <f>+'C-SH-6A ConsCombFloPesq,04-21'!F119/42</f>
        <v>0</v>
      </c>
      <c r="G118" s="387">
        <f>+'C-SH-6A ConsCombFloPesq,04-21'!G119/42</f>
        <v>0</v>
      </c>
      <c r="H118" s="387">
        <f>+'C-SH-6A ConsCombFloPesq,04-21'!H119/42</f>
        <v>0</v>
      </c>
      <c r="I118" s="387">
        <f>+'C-SH-6A ConsCombFloPesq,04-21'!I119/42</f>
        <v>0</v>
      </c>
      <c r="J118" s="387">
        <f>+'C-SH-6A ConsCombFloPesq,04-21'!J120/42</f>
        <v>19533.840476190479</v>
      </c>
    </row>
    <row r="119" spans="2:10" x14ac:dyDescent="0.25">
      <c r="B119" s="577" t="s">
        <v>97</v>
      </c>
      <c r="C119" s="387">
        <f>+'C-SH-6A ConsCombFloPesq,04-21'!C120/42</f>
        <v>1196.4285714285713</v>
      </c>
      <c r="D119" s="387">
        <f>+'C-SH-6A ConsCombFloPesq,04-21'!D120/42</f>
        <v>18111.221428571429</v>
      </c>
      <c r="E119" s="387">
        <f>+'C-SH-6A ConsCombFloPesq,04-21'!E120/42</f>
        <v>0</v>
      </c>
      <c r="F119" s="387">
        <f>+'C-SH-6A ConsCombFloPesq,04-21'!F120/42</f>
        <v>0</v>
      </c>
      <c r="G119" s="387">
        <f>+'C-SH-6A ConsCombFloPesq,04-21'!G120/42</f>
        <v>35.714285714285715</v>
      </c>
      <c r="H119" s="387">
        <f>+'C-SH-6A ConsCombFloPesq,04-21'!H120/42</f>
        <v>190.47619047619048</v>
      </c>
      <c r="I119" s="387">
        <f>+'C-SH-6A ConsCombFloPesq,04-21'!I120/42</f>
        <v>0</v>
      </c>
      <c r="J119" s="387">
        <f>+'C-SH-6A ConsCombFloPesq,04-21'!J121/42</f>
        <v>30390.388095238097</v>
      </c>
    </row>
    <row r="120" spans="2:10" ht="15.6" x14ac:dyDescent="0.25">
      <c r="B120" s="570" t="s">
        <v>141</v>
      </c>
      <c r="C120" s="380">
        <f t="shared" ref="C120:I120" si="19">SUM(C117:C119)</f>
        <v>1410.7142857142856</v>
      </c>
      <c r="D120" s="380">
        <f t="shared" si="19"/>
        <v>28753.483333333334</v>
      </c>
      <c r="E120" s="380">
        <f t="shared" si="19"/>
        <v>0</v>
      </c>
      <c r="F120" s="380">
        <f t="shared" si="19"/>
        <v>0</v>
      </c>
      <c r="G120" s="380">
        <f t="shared" si="19"/>
        <v>35.714285714285715</v>
      </c>
      <c r="H120" s="380">
        <f t="shared" si="19"/>
        <v>190.47619047619048</v>
      </c>
      <c r="I120" s="666">
        <f t="shared" si="19"/>
        <v>0</v>
      </c>
      <c r="J120" s="380">
        <f>+C120+D120+E120+F120+G120+H120+I120</f>
        <v>30390.388095238097</v>
      </c>
    </row>
    <row r="121" spans="2:10" ht="15.6" thickBot="1" x14ac:dyDescent="0.3">
      <c r="B121" s="593"/>
      <c r="C121" s="381"/>
      <c r="D121" s="381"/>
      <c r="E121" s="381"/>
      <c r="F121" s="381"/>
      <c r="G121" s="381"/>
      <c r="H121" s="665"/>
      <c r="I121" s="389"/>
      <c r="J121" s="381"/>
    </row>
    <row r="122" spans="2:10" x14ac:dyDescent="0.25">
      <c r="B122" s="14" t="s">
        <v>219</v>
      </c>
    </row>
    <row r="124" spans="2:10" ht="15.6" x14ac:dyDescent="0.25">
      <c r="B124" s="864" t="s">
        <v>191</v>
      </c>
      <c r="C124" s="864"/>
      <c r="D124" s="864"/>
      <c r="E124" s="864"/>
      <c r="F124" s="864"/>
      <c r="G124" s="864"/>
      <c r="H124" s="864"/>
      <c r="I124" s="864"/>
      <c r="J124" s="864"/>
    </row>
    <row r="125" spans="2:10" ht="15.6" x14ac:dyDescent="0.25">
      <c r="B125" s="864" t="s">
        <v>137</v>
      </c>
      <c r="C125" s="864"/>
      <c r="D125" s="864"/>
      <c r="E125" s="864"/>
      <c r="F125" s="864"/>
      <c r="G125" s="864"/>
      <c r="H125" s="864"/>
      <c r="I125" s="864"/>
      <c r="J125" s="864"/>
    </row>
    <row r="126" spans="2:10" ht="15.6" x14ac:dyDescent="0.25">
      <c r="B126" s="864">
        <v>2017</v>
      </c>
      <c r="C126" s="864"/>
      <c r="D126" s="864"/>
      <c r="E126" s="864"/>
      <c r="F126" s="864"/>
      <c r="G126" s="864"/>
      <c r="H126" s="864"/>
      <c r="I126" s="864"/>
      <c r="J126" s="864"/>
    </row>
    <row r="127" spans="2:10" ht="16.2" thickBot="1" x14ac:dyDescent="0.3">
      <c r="B127" s="929" t="s">
        <v>27</v>
      </c>
      <c r="C127" s="929"/>
      <c r="D127" s="929"/>
      <c r="E127" s="929"/>
      <c r="F127" s="929"/>
      <c r="G127" s="929"/>
      <c r="H127" s="929"/>
      <c r="I127" s="929"/>
      <c r="J127" s="929"/>
    </row>
    <row r="128" spans="2:10" ht="16.2" thickBot="1" x14ac:dyDescent="0.3">
      <c r="B128" s="594" t="s">
        <v>100</v>
      </c>
      <c r="C128" s="755" t="s">
        <v>52</v>
      </c>
      <c r="D128" s="755" t="s">
        <v>123</v>
      </c>
      <c r="E128" s="755" t="s">
        <v>181</v>
      </c>
      <c r="F128" s="755" t="s">
        <v>131</v>
      </c>
      <c r="G128" s="755" t="s">
        <v>232</v>
      </c>
      <c r="H128" s="755" t="s">
        <v>233</v>
      </c>
      <c r="I128" s="594" t="s">
        <v>84</v>
      </c>
      <c r="J128" s="755" t="s">
        <v>78</v>
      </c>
    </row>
    <row r="129" spans="2:10" x14ac:dyDescent="0.25">
      <c r="B129" s="574"/>
      <c r="C129" s="377"/>
      <c r="D129" s="377"/>
      <c r="E129" s="378"/>
      <c r="F129" s="378"/>
      <c r="G129" s="378"/>
      <c r="H129" s="659"/>
      <c r="I129" s="379"/>
      <c r="J129" s="378"/>
    </row>
    <row r="130" spans="2:10" ht="15.6" x14ac:dyDescent="0.25">
      <c r="B130" s="570" t="s">
        <v>103</v>
      </c>
      <c r="C130" s="380">
        <f t="shared" ref="C130:H130" si="20">+C136+C141+C146+C151</f>
        <v>8657.1428571428569</v>
      </c>
      <c r="D130" s="380">
        <f t="shared" si="20"/>
        <v>93298.389047619028</v>
      </c>
      <c r="E130" s="380">
        <f t="shared" si="20"/>
        <v>0</v>
      </c>
      <c r="F130" s="380">
        <f t="shared" si="20"/>
        <v>0</v>
      </c>
      <c r="G130" s="380">
        <f t="shared" si="20"/>
        <v>0</v>
      </c>
      <c r="H130" s="660">
        <f t="shared" si="20"/>
        <v>0</v>
      </c>
      <c r="I130" s="666">
        <f>+I136+I141+I146+I151</f>
        <v>0</v>
      </c>
      <c r="J130" s="380">
        <f>+J136+J141+J146+J151</f>
        <v>101955.53190476188</v>
      </c>
    </row>
    <row r="131" spans="2:10" ht="15.6" thickBot="1" x14ac:dyDescent="0.3">
      <c r="B131" s="593"/>
      <c r="C131" s="381"/>
      <c r="D131" s="381"/>
      <c r="E131" s="382"/>
      <c r="F131" s="382"/>
      <c r="G131" s="382"/>
      <c r="H131" s="661"/>
      <c r="I131" s="383"/>
      <c r="J131" s="382"/>
    </row>
    <row r="132" spans="2:10" x14ac:dyDescent="0.25">
      <c r="B132" s="579"/>
      <c r="C132" s="384"/>
      <c r="D132" s="384"/>
      <c r="E132" s="385"/>
      <c r="F132" s="385"/>
      <c r="G132" s="385"/>
      <c r="H132" s="662"/>
      <c r="I132" s="386"/>
      <c r="J132" s="385"/>
    </row>
    <row r="133" spans="2:10" x14ac:dyDescent="0.25">
      <c r="B133" s="577" t="s">
        <v>86</v>
      </c>
      <c r="C133" s="387">
        <f>+'C-SH-6A ConsCombFloPesq,04-21'!C134/42</f>
        <v>583.33333333333337</v>
      </c>
      <c r="D133" s="387">
        <f>+'C-SH-6A ConsCombFloPesq,04-21'!D134/42</f>
        <v>6983.9047619047615</v>
      </c>
      <c r="E133" s="387">
        <f>+'C-SH-6A ConsCombFloPesq,04-21'!E134/42</f>
        <v>0</v>
      </c>
      <c r="F133" s="387">
        <f>+'C-SH-6A ConsCombFloPesq,04-21'!F134/42</f>
        <v>0</v>
      </c>
      <c r="G133" s="387">
        <f>+'C-SH-6A ConsCombFloPesq,04-21'!G134/42</f>
        <v>0</v>
      </c>
      <c r="H133" s="387">
        <f>+'C-SH-6A ConsCombFloPesq,04-21'!H134/42</f>
        <v>0</v>
      </c>
      <c r="I133" s="387">
        <f>+'C-SH-6A ConsCombFloPesq,04-21'!I134/42</f>
        <v>0</v>
      </c>
      <c r="J133" s="387">
        <f>+'C-SH-6A ConsCombFloPesq,04-21'!J135/42</f>
        <v>5138.2380952380954</v>
      </c>
    </row>
    <row r="134" spans="2:10" x14ac:dyDescent="0.25">
      <c r="B134" s="577" t="s">
        <v>87</v>
      </c>
      <c r="C134" s="387">
        <f>+'C-SH-6A ConsCombFloPesq,04-21'!C135/42</f>
        <v>742.85714285714289</v>
      </c>
      <c r="D134" s="387">
        <f>+'C-SH-6A ConsCombFloPesq,04-21'!D135/42</f>
        <v>4395.3809523809523</v>
      </c>
      <c r="E134" s="387">
        <f>+'C-SH-6A ConsCombFloPesq,04-21'!E135/42</f>
        <v>0</v>
      </c>
      <c r="F134" s="387">
        <f>+'C-SH-6A ConsCombFloPesq,04-21'!F135/42</f>
        <v>0</v>
      </c>
      <c r="G134" s="387">
        <f>+'C-SH-6A ConsCombFloPesq,04-21'!G135/42</f>
        <v>0</v>
      </c>
      <c r="H134" s="387">
        <f>+'C-SH-6A ConsCombFloPesq,04-21'!H135/42</f>
        <v>0</v>
      </c>
      <c r="I134" s="387">
        <f>+'C-SH-6A ConsCombFloPesq,04-21'!I135/42</f>
        <v>0</v>
      </c>
      <c r="J134" s="387">
        <f>+'C-SH-6A ConsCombFloPesq,04-21'!J136/42</f>
        <v>4013.6666666666665</v>
      </c>
    </row>
    <row r="135" spans="2:10" x14ac:dyDescent="0.25">
      <c r="B135" s="577" t="s">
        <v>88</v>
      </c>
      <c r="C135" s="387">
        <f>+'C-SH-6A ConsCombFloPesq,04-21'!C136/42</f>
        <v>952.38095238095241</v>
      </c>
      <c r="D135" s="387">
        <f>+'C-SH-6A ConsCombFloPesq,04-21'!D136/42</f>
        <v>3061.2857142857142</v>
      </c>
      <c r="E135" s="387">
        <f>+'C-SH-6A ConsCombFloPesq,04-21'!E136/42</f>
        <v>0</v>
      </c>
      <c r="F135" s="387">
        <f>+'C-SH-6A ConsCombFloPesq,04-21'!F136/42</f>
        <v>0</v>
      </c>
      <c r="G135" s="387">
        <f>+'C-SH-6A ConsCombFloPesq,04-21'!G136/42</f>
        <v>0</v>
      </c>
      <c r="H135" s="387">
        <f>+'C-SH-6A ConsCombFloPesq,04-21'!H136/42</f>
        <v>0</v>
      </c>
      <c r="I135" s="387">
        <f>+'C-SH-6A ConsCombFloPesq,04-21'!I136/42</f>
        <v>0</v>
      </c>
      <c r="J135" s="387">
        <f>+'C-SH-6A ConsCombFloPesq,04-21'!J137/42</f>
        <v>16719.142857142859</v>
      </c>
    </row>
    <row r="136" spans="2:10" ht="15.6" x14ac:dyDescent="0.25">
      <c r="B136" s="570" t="s">
        <v>138</v>
      </c>
      <c r="C136" s="380">
        <f t="shared" ref="C136:I136" si="21">SUM(C133:C135)</f>
        <v>2278.5714285714284</v>
      </c>
      <c r="D136" s="380">
        <f t="shared" si="21"/>
        <v>14440.571428571428</v>
      </c>
      <c r="E136" s="380">
        <f t="shared" si="21"/>
        <v>0</v>
      </c>
      <c r="F136" s="380">
        <f t="shared" si="21"/>
        <v>0</v>
      </c>
      <c r="G136" s="380">
        <f t="shared" si="21"/>
        <v>0</v>
      </c>
      <c r="H136" s="380">
        <f t="shared" si="21"/>
        <v>0</v>
      </c>
      <c r="I136" s="666">
        <f t="shared" si="21"/>
        <v>0</v>
      </c>
      <c r="J136" s="380">
        <f>+C136+D136+E136+F136+G136+H136+I136</f>
        <v>16719.142857142855</v>
      </c>
    </row>
    <row r="137" spans="2:10" x14ac:dyDescent="0.25">
      <c r="B137" s="577"/>
      <c r="C137" s="387"/>
      <c r="D137" s="387"/>
      <c r="E137" s="387"/>
      <c r="F137" s="387"/>
      <c r="G137" s="387"/>
      <c r="H137" s="664"/>
      <c r="I137" s="388"/>
      <c r="J137" s="387"/>
    </row>
    <row r="138" spans="2:10" x14ac:dyDescent="0.25">
      <c r="B138" s="577" t="s">
        <v>89</v>
      </c>
      <c r="C138" s="387">
        <f>+'C-SH-6A ConsCombFloPesq,04-21'!C139/42</f>
        <v>717.14285714285711</v>
      </c>
      <c r="D138" s="387">
        <f>+'C-SH-6A ConsCombFloPesq,04-21'!D139/42</f>
        <v>9261.5476190476184</v>
      </c>
      <c r="E138" s="387">
        <f>+'C-SH-6A ConsCombFloPesq,04-21'!E139/42</f>
        <v>0</v>
      </c>
      <c r="F138" s="387">
        <f>+'C-SH-6A ConsCombFloPesq,04-21'!F139/42</f>
        <v>0</v>
      </c>
      <c r="G138" s="387">
        <f>+'C-SH-6A ConsCombFloPesq,04-21'!G139/42</f>
        <v>0</v>
      </c>
      <c r="H138" s="387">
        <f>+'C-SH-6A ConsCombFloPesq,04-21'!H139/42</f>
        <v>0</v>
      </c>
      <c r="I138" s="387">
        <f>+'C-SH-6A ConsCombFloPesq,04-21'!I139/42</f>
        <v>0</v>
      </c>
      <c r="J138" s="387">
        <f>+'C-SH-6A ConsCombFloPesq,04-21'!J140/42</f>
        <v>9345.5</v>
      </c>
    </row>
    <row r="139" spans="2:10" x14ac:dyDescent="0.25">
      <c r="B139" s="577" t="s">
        <v>90</v>
      </c>
      <c r="C139" s="387">
        <f>+'C-SH-6A ConsCombFloPesq,04-21'!C140/42</f>
        <v>756.19047619047615</v>
      </c>
      <c r="D139" s="387">
        <f>+'C-SH-6A ConsCombFloPesq,04-21'!D140/42</f>
        <v>8589.3095238095229</v>
      </c>
      <c r="E139" s="387">
        <f>+'C-SH-6A ConsCombFloPesq,04-21'!E140/42</f>
        <v>0</v>
      </c>
      <c r="F139" s="387">
        <f>+'C-SH-6A ConsCombFloPesq,04-21'!F140/42</f>
        <v>0</v>
      </c>
      <c r="G139" s="387">
        <f>+'C-SH-6A ConsCombFloPesq,04-21'!G140/42</f>
        <v>0</v>
      </c>
      <c r="H139" s="387">
        <f>+'C-SH-6A ConsCombFloPesq,04-21'!H140/42</f>
        <v>0</v>
      </c>
      <c r="I139" s="387">
        <f>+'C-SH-6A ConsCombFloPesq,04-21'!I140/42</f>
        <v>0</v>
      </c>
      <c r="J139" s="387">
        <f>+'C-SH-6A ConsCombFloPesq,04-21'!J141/42</f>
        <v>10894.833333333334</v>
      </c>
    </row>
    <row r="140" spans="2:10" x14ac:dyDescent="0.25">
      <c r="B140" s="577" t="s">
        <v>91</v>
      </c>
      <c r="C140" s="387">
        <f>+'C-SH-6A ConsCombFloPesq,04-21'!C141/42</f>
        <v>811.90476190476193</v>
      </c>
      <c r="D140" s="387">
        <f>+'C-SH-6A ConsCombFloPesq,04-21'!D141/42</f>
        <v>10082.928571428571</v>
      </c>
      <c r="E140" s="387">
        <f>+'C-SH-6A ConsCombFloPesq,04-21'!E141/42</f>
        <v>0</v>
      </c>
      <c r="F140" s="387">
        <f>+'C-SH-6A ConsCombFloPesq,04-21'!F141/42</f>
        <v>0</v>
      </c>
      <c r="G140" s="387">
        <f>+'C-SH-6A ConsCombFloPesq,04-21'!G141/42</f>
        <v>0</v>
      </c>
      <c r="H140" s="387">
        <f>+'C-SH-6A ConsCombFloPesq,04-21'!H141/42</f>
        <v>0</v>
      </c>
      <c r="I140" s="387">
        <f>+'C-SH-6A ConsCombFloPesq,04-21'!I141/42</f>
        <v>0</v>
      </c>
      <c r="J140" s="387">
        <f>+'C-SH-6A ConsCombFloPesq,04-21'!J142/42</f>
        <v>30219.023809523809</v>
      </c>
    </row>
    <row r="141" spans="2:10" ht="15.6" x14ac:dyDescent="0.25">
      <c r="B141" s="570" t="s">
        <v>139</v>
      </c>
      <c r="C141" s="380">
        <f t="shared" ref="C141:I141" si="22">SUM(C138:C140)</f>
        <v>2285.2380952380954</v>
      </c>
      <c r="D141" s="380">
        <f t="shared" si="22"/>
        <v>27933.78571428571</v>
      </c>
      <c r="E141" s="380">
        <f t="shared" si="22"/>
        <v>0</v>
      </c>
      <c r="F141" s="380">
        <f t="shared" si="22"/>
        <v>0</v>
      </c>
      <c r="G141" s="380">
        <f t="shared" si="22"/>
        <v>0</v>
      </c>
      <c r="H141" s="380">
        <f t="shared" si="22"/>
        <v>0</v>
      </c>
      <c r="I141" s="666">
        <f t="shared" si="22"/>
        <v>0</v>
      </c>
      <c r="J141" s="380">
        <f>+C141+D141+E141+F141+G141+H141+I141</f>
        <v>30219.023809523806</v>
      </c>
    </row>
    <row r="142" spans="2:10" x14ac:dyDescent="0.25">
      <c r="B142" s="577"/>
      <c r="C142" s="387"/>
      <c r="D142" s="387"/>
      <c r="E142" s="387"/>
      <c r="F142" s="387"/>
      <c r="G142" s="387"/>
      <c r="H142" s="664"/>
      <c r="I142" s="388"/>
      <c r="J142" s="387"/>
    </row>
    <row r="143" spans="2:10" x14ac:dyDescent="0.25">
      <c r="B143" s="577" t="s">
        <v>93</v>
      </c>
      <c r="C143" s="387">
        <f>+'C-SH-6A ConsCombFloPesq,04-21'!C144/42</f>
        <v>607.14285714285711</v>
      </c>
      <c r="D143" s="387">
        <f>+'C-SH-6A ConsCombFloPesq,04-21'!D144/42</f>
        <v>7152.5952380952385</v>
      </c>
      <c r="E143" s="387">
        <f>+'C-SH-6A ConsCombFloPesq,04-21'!E144/42</f>
        <v>0</v>
      </c>
      <c r="F143" s="387">
        <f>+'C-SH-6A ConsCombFloPesq,04-21'!F144/42</f>
        <v>0</v>
      </c>
      <c r="G143" s="387">
        <f>+'C-SH-6A ConsCombFloPesq,04-21'!G144/42</f>
        <v>0</v>
      </c>
      <c r="H143" s="387">
        <f>+'C-SH-6A ConsCombFloPesq,04-21'!H144/42</f>
        <v>0</v>
      </c>
      <c r="I143" s="387">
        <f>+'C-SH-6A ConsCombFloPesq,04-21'!I144/42</f>
        <v>0</v>
      </c>
      <c r="J143" s="387">
        <f>+'C-SH-6A ConsCombFloPesq,04-21'!J145/42</f>
        <v>9531.4285714285706</v>
      </c>
    </row>
    <row r="144" spans="2:10" x14ac:dyDescent="0.25">
      <c r="B144" s="577" t="s">
        <v>94</v>
      </c>
      <c r="C144" s="387">
        <f>+'C-SH-6A ConsCombFloPesq,04-21'!C145/42</f>
        <v>479.76190476190476</v>
      </c>
      <c r="D144" s="387">
        <f>+'C-SH-6A ConsCombFloPesq,04-21'!D145/42</f>
        <v>9051.6666666666661</v>
      </c>
      <c r="E144" s="387">
        <f>+'C-SH-6A ConsCombFloPesq,04-21'!E145/42</f>
        <v>0</v>
      </c>
      <c r="F144" s="387">
        <f>+'C-SH-6A ConsCombFloPesq,04-21'!F145/42</f>
        <v>0</v>
      </c>
      <c r="G144" s="387">
        <f>+'C-SH-6A ConsCombFloPesq,04-21'!G145/42</f>
        <v>0</v>
      </c>
      <c r="H144" s="387">
        <f>+'C-SH-6A ConsCombFloPesq,04-21'!H145/42</f>
        <v>0</v>
      </c>
      <c r="I144" s="387">
        <f>+'C-SH-6A ConsCombFloPesq,04-21'!I145/42</f>
        <v>0</v>
      </c>
      <c r="J144" s="387">
        <f>+'C-SH-6A ConsCombFloPesq,04-21'!J146/42</f>
        <v>9848.4292857142864</v>
      </c>
    </row>
    <row r="145" spans="2:10" x14ac:dyDescent="0.25">
      <c r="B145" s="577" t="s">
        <v>101</v>
      </c>
      <c r="C145" s="387">
        <f>+'C-SH-6A ConsCombFloPesq,04-21'!C146/42</f>
        <v>751.66666666666663</v>
      </c>
      <c r="D145" s="387">
        <f>+'C-SH-6A ConsCombFloPesq,04-21'!D146/42</f>
        <v>9096.7626190476203</v>
      </c>
      <c r="E145" s="387">
        <f>+'C-SH-6A ConsCombFloPesq,04-21'!E146/42</f>
        <v>0</v>
      </c>
      <c r="F145" s="387">
        <f>+'C-SH-6A ConsCombFloPesq,04-21'!F146/42</f>
        <v>0</v>
      </c>
      <c r="G145" s="387">
        <f>+'C-SH-6A ConsCombFloPesq,04-21'!G146/42</f>
        <v>0</v>
      </c>
      <c r="H145" s="387">
        <f>+'C-SH-6A ConsCombFloPesq,04-21'!H146/42</f>
        <v>0</v>
      </c>
      <c r="I145" s="387">
        <f>+'C-SH-6A ConsCombFloPesq,04-21'!I146/42</f>
        <v>0</v>
      </c>
      <c r="J145" s="387">
        <f>+'C-SH-6A ConsCombFloPesq,04-21'!J147/42</f>
        <v>27139.595952380954</v>
      </c>
    </row>
    <row r="146" spans="2:10" ht="15.6" x14ac:dyDescent="0.25">
      <c r="B146" s="570" t="s">
        <v>140</v>
      </c>
      <c r="C146" s="380">
        <f t="shared" ref="C146:I146" si="23">SUM(C143:C145)</f>
        <v>1838.5714285714284</v>
      </c>
      <c r="D146" s="380">
        <f t="shared" si="23"/>
        <v>25301.024523809523</v>
      </c>
      <c r="E146" s="380">
        <f t="shared" si="23"/>
        <v>0</v>
      </c>
      <c r="F146" s="380">
        <f t="shared" si="23"/>
        <v>0</v>
      </c>
      <c r="G146" s="380">
        <f t="shared" si="23"/>
        <v>0</v>
      </c>
      <c r="H146" s="380">
        <f t="shared" si="23"/>
        <v>0</v>
      </c>
      <c r="I146" s="666">
        <f t="shared" si="23"/>
        <v>0</v>
      </c>
      <c r="J146" s="380">
        <f>+C146+D146+E146+F146+G146+H146+I146</f>
        <v>27139.595952380951</v>
      </c>
    </row>
    <row r="147" spans="2:10" x14ac:dyDescent="0.25">
      <c r="B147" s="577"/>
      <c r="C147" s="387"/>
      <c r="D147" s="387"/>
      <c r="E147" s="387"/>
      <c r="F147" s="387"/>
      <c r="G147" s="387"/>
      <c r="H147" s="664"/>
      <c r="I147" s="388"/>
      <c r="J147" s="387"/>
    </row>
    <row r="148" spans="2:10" x14ac:dyDescent="0.25">
      <c r="B148" s="577" t="s">
        <v>95</v>
      </c>
      <c r="C148" s="387">
        <f>+'C-SH-6A ConsCombFloPesq,04-21'!C149/42</f>
        <v>600</v>
      </c>
      <c r="D148" s="387">
        <f>+'C-SH-6A ConsCombFloPesq,04-21'!D149/42</f>
        <v>11186.878809523809</v>
      </c>
      <c r="E148" s="387">
        <f>+'C-SH-6A ConsCombFloPesq,04-21'!E149/42</f>
        <v>0</v>
      </c>
      <c r="F148" s="387">
        <f>+'C-SH-6A ConsCombFloPesq,04-21'!F149/42</f>
        <v>0</v>
      </c>
      <c r="G148" s="387">
        <f>+'C-SH-6A ConsCombFloPesq,04-21'!G149/42</f>
        <v>0</v>
      </c>
      <c r="H148" s="387">
        <f>+'C-SH-6A ConsCombFloPesq,04-21'!H149/42</f>
        <v>0</v>
      </c>
      <c r="I148" s="387">
        <f>+'C-SH-6A ConsCombFloPesq,04-21'!I149/42</f>
        <v>0</v>
      </c>
      <c r="J148" s="387">
        <f>+'C-SH-6A ConsCombFloPesq,04-21'!J150/42</f>
        <v>8498.2857142857138</v>
      </c>
    </row>
    <row r="149" spans="2:10" x14ac:dyDescent="0.25">
      <c r="B149" s="577" t="s">
        <v>96</v>
      </c>
      <c r="C149" s="387">
        <f>+'C-SH-6A ConsCombFloPesq,04-21'!C150/42</f>
        <v>846.42857142857144</v>
      </c>
      <c r="D149" s="387">
        <f>+'C-SH-6A ConsCombFloPesq,04-21'!D150/42</f>
        <v>7651.8571428571431</v>
      </c>
      <c r="E149" s="387">
        <f>+'C-SH-6A ConsCombFloPesq,04-21'!E150/42</f>
        <v>0</v>
      </c>
      <c r="F149" s="387">
        <f>+'C-SH-6A ConsCombFloPesq,04-21'!F150/42</f>
        <v>0</v>
      </c>
      <c r="G149" s="387">
        <f>+'C-SH-6A ConsCombFloPesq,04-21'!G150/42</f>
        <v>0</v>
      </c>
      <c r="H149" s="387">
        <f>+'C-SH-6A ConsCombFloPesq,04-21'!H150/42</f>
        <v>0</v>
      </c>
      <c r="I149" s="387">
        <f>+'C-SH-6A ConsCombFloPesq,04-21'!I150/42</f>
        <v>0</v>
      </c>
      <c r="J149" s="387">
        <f>+'C-SH-6A ConsCombFloPesq,04-21'!J151/42</f>
        <v>7592.6047619047622</v>
      </c>
    </row>
    <row r="150" spans="2:10" x14ac:dyDescent="0.25">
      <c r="B150" s="577" t="s">
        <v>97</v>
      </c>
      <c r="C150" s="387">
        <f>+'C-SH-6A ConsCombFloPesq,04-21'!C151/42</f>
        <v>808.33333333333337</v>
      </c>
      <c r="D150" s="387">
        <f>+'C-SH-6A ConsCombFloPesq,04-21'!D151/42</f>
        <v>6784.2714285714292</v>
      </c>
      <c r="E150" s="387">
        <f>+'C-SH-6A ConsCombFloPesq,04-21'!E151/42</f>
        <v>0</v>
      </c>
      <c r="F150" s="387">
        <f>+'C-SH-6A ConsCombFloPesq,04-21'!F151/42</f>
        <v>0</v>
      </c>
      <c r="G150" s="387">
        <f>+'C-SH-6A ConsCombFloPesq,04-21'!G151/42</f>
        <v>0</v>
      </c>
      <c r="H150" s="387">
        <f>+'C-SH-6A ConsCombFloPesq,04-21'!H151/42</f>
        <v>0</v>
      </c>
      <c r="I150" s="387">
        <f>+'C-SH-6A ConsCombFloPesq,04-21'!I151/42</f>
        <v>0</v>
      </c>
      <c r="J150" s="387">
        <f>+'C-SH-6A ConsCombFloPesq,04-21'!J152/42</f>
        <v>27877.769285714287</v>
      </c>
    </row>
    <row r="151" spans="2:10" ht="15.6" x14ac:dyDescent="0.25">
      <c r="B151" s="570" t="s">
        <v>141</v>
      </c>
      <c r="C151" s="380">
        <f t="shared" ref="C151:I151" si="24">SUM(C148:C150)</f>
        <v>2254.761904761905</v>
      </c>
      <c r="D151" s="380">
        <f t="shared" si="24"/>
        <v>25623.007380952378</v>
      </c>
      <c r="E151" s="380">
        <f t="shared" si="24"/>
        <v>0</v>
      </c>
      <c r="F151" s="380">
        <f t="shared" si="24"/>
        <v>0</v>
      </c>
      <c r="G151" s="380">
        <f t="shared" si="24"/>
        <v>0</v>
      </c>
      <c r="H151" s="380">
        <f t="shared" si="24"/>
        <v>0</v>
      </c>
      <c r="I151" s="666">
        <f t="shared" si="24"/>
        <v>0</v>
      </c>
      <c r="J151" s="380">
        <f>+C151+D151+E151+F151+G151+H151+I151</f>
        <v>27877.769285714283</v>
      </c>
    </row>
    <row r="152" spans="2:10" ht="15.6" thickBot="1" x14ac:dyDescent="0.3">
      <c r="B152" s="593"/>
      <c r="C152" s="381"/>
      <c r="D152" s="381"/>
      <c r="E152" s="381"/>
      <c r="F152" s="381"/>
      <c r="G152" s="381"/>
      <c r="H152" s="665"/>
      <c r="I152" s="389"/>
      <c r="J152" s="381"/>
    </row>
    <row r="153" spans="2:10" x14ac:dyDescent="0.25">
      <c r="B153" s="14" t="s">
        <v>219</v>
      </c>
    </row>
    <row r="155" spans="2:10" ht="15.6" x14ac:dyDescent="0.25">
      <c r="B155" s="864" t="s">
        <v>191</v>
      </c>
      <c r="C155" s="864"/>
      <c r="D155" s="864"/>
      <c r="E155" s="864"/>
      <c r="F155" s="864"/>
      <c r="G155" s="864"/>
      <c r="H155" s="864"/>
      <c r="I155" s="864"/>
      <c r="J155" s="864"/>
    </row>
    <row r="156" spans="2:10" ht="15.6" x14ac:dyDescent="0.25">
      <c r="B156" s="864" t="s">
        <v>137</v>
      </c>
      <c r="C156" s="864"/>
      <c r="D156" s="864"/>
      <c r="E156" s="864"/>
      <c r="F156" s="864"/>
      <c r="G156" s="864"/>
      <c r="H156" s="864"/>
      <c r="I156" s="864"/>
      <c r="J156" s="864"/>
    </row>
    <row r="157" spans="2:10" ht="15.6" x14ac:dyDescent="0.25">
      <c r="B157" s="864">
        <v>2016</v>
      </c>
      <c r="C157" s="864"/>
      <c r="D157" s="864"/>
      <c r="E157" s="864"/>
      <c r="F157" s="864"/>
      <c r="G157" s="864"/>
      <c r="H157" s="864"/>
      <c r="I157" s="864"/>
      <c r="J157" s="864"/>
    </row>
    <row r="158" spans="2:10" ht="16.2" thickBot="1" x14ac:dyDescent="0.3">
      <c r="B158" s="929" t="s">
        <v>27</v>
      </c>
      <c r="C158" s="929"/>
      <c r="D158" s="929"/>
      <c r="E158" s="929"/>
      <c r="F158" s="929"/>
      <c r="G158" s="929"/>
      <c r="H158" s="929"/>
      <c r="I158" s="929"/>
      <c r="J158" s="929"/>
    </row>
    <row r="159" spans="2:10" ht="16.2" thickBot="1" x14ac:dyDescent="0.3">
      <c r="B159" s="594" t="s">
        <v>100</v>
      </c>
      <c r="C159" s="732" t="s">
        <v>52</v>
      </c>
      <c r="D159" s="732" t="s">
        <v>123</v>
      </c>
      <c r="E159" s="732" t="s">
        <v>181</v>
      </c>
      <c r="F159" s="732" t="s">
        <v>131</v>
      </c>
      <c r="G159" s="732" t="s">
        <v>232</v>
      </c>
      <c r="H159" s="732" t="s">
        <v>233</v>
      </c>
      <c r="I159" s="594" t="s">
        <v>84</v>
      </c>
      <c r="J159" s="732" t="s">
        <v>78</v>
      </c>
    </row>
    <row r="160" spans="2:10" x14ac:dyDescent="0.25">
      <c r="B160" s="574"/>
      <c r="C160" s="377"/>
      <c r="D160" s="377"/>
      <c r="E160" s="378"/>
      <c r="F160" s="378"/>
      <c r="G160" s="378"/>
      <c r="H160" s="659"/>
      <c r="I160" s="379"/>
      <c r="J160" s="378"/>
    </row>
    <row r="161" spans="2:10" ht="15.6" x14ac:dyDescent="0.25">
      <c r="B161" s="570" t="s">
        <v>103</v>
      </c>
      <c r="C161" s="380">
        <f t="shared" ref="C161:H161" si="25">+C167+C172+C177+C182</f>
        <v>4298.8095238095239</v>
      </c>
      <c r="D161" s="380">
        <f t="shared" si="25"/>
        <v>120817.69047619047</v>
      </c>
      <c r="E161" s="380">
        <f t="shared" si="25"/>
        <v>0</v>
      </c>
      <c r="F161" s="380">
        <f t="shared" si="25"/>
        <v>0</v>
      </c>
      <c r="G161" s="380">
        <f t="shared" si="25"/>
        <v>0</v>
      </c>
      <c r="H161" s="660">
        <f t="shared" si="25"/>
        <v>119.04761904761905</v>
      </c>
      <c r="I161" s="666">
        <f>+I167+I172+I177+I182</f>
        <v>0</v>
      </c>
      <c r="J161" s="380">
        <f>+J167+J172+J177+J182</f>
        <v>125235.5476190476</v>
      </c>
    </row>
    <row r="162" spans="2:10" ht="15.6" thickBot="1" x14ac:dyDescent="0.3">
      <c r="B162" s="593"/>
      <c r="C162" s="381"/>
      <c r="D162" s="381"/>
      <c r="E162" s="382"/>
      <c r="F162" s="382"/>
      <c r="G162" s="382"/>
      <c r="H162" s="661"/>
      <c r="I162" s="383"/>
      <c r="J162" s="382"/>
    </row>
    <row r="163" spans="2:10" x14ac:dyDescent="0.25">
      <c r="B163" s="579"/>
      <c r="C163" s="384"/>
      <c r="D163" s="384"/>
      <c r="E163" s="385"/>
      <c r="F163" s="385"/>
      <c r="G163" s="385"/>
      <c r="H163" s="662"/>
      <c r="I163" s="386"/>
      <c r="J163" s="385"/>
    </row>
    <row r="164" spans="2:10" x14ac:dyDescent="0.25">
      <c r="B164" s="577" t="s">
        <v>86</v>
      </c>
      <c r="C164" s="387">
        <f>+'C-SH-6A ConsCombFloPesq,04-21'!C165/42</f>
        <v>311.90476190476193</v>
      </c>
      <c r="D164" s="387">
        <f>+'C-SH-6A ConsCombFloPesq,04-21'!D165/42</f>
        <v>11319.928571428571</v>
      </c>
      <c r="E164" s="387">
        <f>+'C-SH-6A ConsCombFloPesq,04-21'!E165/42</f>
        <v>0</v>
      </c>
      <c r="F164" s="387">
        <f>+'C-SH-6A ConsCombFloPesq,04-21'!F165/42</f>
        <v>0</v>
      </c>
      <c r="G164" s="387">
        <f>+'C-SH-6A ConsCombFloPesq,04-21'!G165/42</f>
        <v>0</v>
      </c>
      <c r="H164" s="387">
        <f>+'C-SH-6A ConsCombFloPesq,04-21'!H165/42</f>
        <v>0</v>
      </c>
      <c r="I164" s="387">
        <f>+'C-SH-6A ConsCombFloPesq,04-21'!I165/42</f>
        <v>0</v>
      </c>
      <c r="J164" s="387">
        <f>+'C-SH-6A ConsCombFloPesq,04-21'!J166/42</f>
        <v>5142.6428571428569</v>
      </c>
    </row>
    <row r="165" spans="2:10" x14ac:dyDescent="0.25">
      <c r="B165" s="577" t="s">
        <v>87</v>
      </c>
      <c r="C165" s="387">
        <f>+'C-SH-6A ConsCombFloPesq,04-21'!C166/42</f>
        <v>315.47619047619048</v>
      </c>
      <c r="D165" s="387">
        <f>+'C-SH-6A ConsCombFloPesq,04-21'!D166/42</f>
        <v>4827.166666666667</v>
      </c>
      <c r="E165" s="387">
        <f>+'C-SH-6A ConsCombFloPesq,04-21'!E166/42</f>
        <v>0</v>
      </c>
      <c r="F165" s="387">
        <f>+'C-SH-6A ConsCombFloPesq,04-21'!F166/42</f>
        <v>0</v>
      </c>
      <c r="G165" s="387">
        <f>+'C-SH-6A ConsCombFloPesq,04-21'!G166/42</f>
        <v>0</v>
      </c>
      <c r="H165" s="387">
        <f>+'C-SH-6A ConsCombFloPesq,04-21'!H166/42</f>
        <v>0</v>
      </c>
      <c r="I165" s="387">
        <f>+'C-SH-6A ConsCombFloPesq,04-21'!I166/42</f>
        <v>0</v>
      </c>
      <c r="J165" s="387">
        <f>+'C-SH-6A ConsCombFloPesq,04-21'!J167/42</f>
        <v>10420.833333333334</v>
      </c>
    </row>
    <row r="166" spans="2:10" x14ac:dyDescent="0.25">
      <c r="B166" s="577" t="s">
        <v>88</v>
      </c>
      <c r="C166" s="387">
        <f>+'C-SH-6A ConsCombFloPesq,04-21'!C167/42</f>
        <v>485.71428571428572</v>
      </c>
      <c r="D166" s="387">
        <f>+'C-SH-6A ConsCombFloPesq,04-21'!D167/42</f>
        <v>9935.1190476190477</v>
      </c>
      <c r="E166" s="387">
        <f>+'C-SH-6A ConsCombFloPesq,04-21'!E167/42</f>
        <v>0</v>
      </c>
      <c r="F166" s="387">
        <f>+'C-SH-6A ConsCombFloPesq,04-21'!F167/42</f>
        <v>0</v>
      </c>
      <c r="G166" s="387">
        <f>+'C-SH-6A ConsCombFloPesq,04-21'!G167/42</f>
        <v>0</v>
      </c>
      <c r="H166" s="387">
        <f>+'C-SH-6A ConsCombFloPesq,04-21'!H167/42</f>
        <v>0</v>
      </c>
      <c r="I166" s="387">
        <f>+'C-SH-6A ConsCombFloPesq,04-21'!I167/42</f>
        <v>0</v>
      </c>
      <c r="J166" s="387">
        <f>+'C-SH-6A ConsCombFloPesq,04-21'!J168/42</f>
        <v>27195.309523809523</v>
      </c>
    </row>
    <row r="167" spans="2:10" ht="15.6" x14ac:dyDescent="0.25">
      <c r="B167" s="570" t="s">
        <v>138</v>
      </c>
      <c r="C167" s="380">
        <f t="shared" ref="C167:I167" si="26">SUM(C164:C166)</f>
        <v>1113.0952380952381</v>
      </c>
      <c r="D167" s="380">
        <f t="shared" si="26"/>
        <v>26082.214285714283</v>
      </c>
      <c r="E167" s="380">
        <f t="shared" si="26"/>
        <v>0</v>
      </c>
      <c r="F167" s="380">
        <f t="shared" si="26"/>
        <v>0</v>
      </c>
      <c r="G167" s="380">
        <f t="shared" si="26"/>
        <v>0</v>
      </c>
      <c r="H167" s="380">
        <f t="shared" si="26"/>
        <v>0</v>
      </c>
      <c r="I167" s="666">
        <f t="shared" si="26"/>
        <v>0</v>
      </c>
      <c r="J167" s="380">
        <f>+C167+D167+E167+F167+G167+H167+I167</f>
        <v>27195.309523809519</v>
      </c>
    </row>
    <row r="168" spans="2:10" x14ac:dyDescent="0.25">
      <c r="B168" s="577"/>
      <c r="C168" s="387"/>
      <c r="D168" s="387"/>
      <c r="E168" s="387"/>
      <c r="F168" s="387"/>
      <c r="G168" s="387"/>
      <c r="H168" s="664"/>
      <c r="I168" s="388"/>
      <c r="J168" s="387"/>
    </row>
    <row r="169" spans="2:10" x14ac:dyDescent="0.25">
      <c r="B169" s="577" t="s">
        <v>89</v>
      </c>
      <c r="C169" s="387">
        <f>+'C-SH-6A ConsCombFloPesq,04-21'!C170/42</f>
        <v>336.90476190476193</v>
      </c>
      <c r="D169" s="387">
        <f>+'C-SH-6A ConsCombFloPesq,04-21'!D170/42</f>
        <v>16159.785714285714</v>
      </c>
      <c r="E169" s="387">
        <f>+'C-SH-6A ConsCombFloPesq,04-21'!E170/42</f>
        <v>0</v>
      </c>
      <c r="F169" s="387">
        <f>+'C-SH-6A ConsCombFloPesq,04-21'!F170/42</f>
        <v>0</v>
      </c>
      <c r="G169" s="387">
        <f>+'C-SH-6A ConsCombFloPesq,04-21'!G170/42</f>
        <v>0</v>
      </c>
      <c r="H169" s="387">
        <f>+'C-SH-6A ConsCombFloPesq,04-21'!H170/42</f>
        <v>0</v>
      </c>
      <c r="I169" s="387">
        <f>+'C-SH-6A ConsCombFloPesq,04-21'!I170/42</f>
        <v>0</v>
      </c>
      <c r="J169" s="387">
        <f>+'C-SH-6A ConsCombFloPesq,04-21'!J171/42</f>
        <v>15042.047619047618</v>
      </c>
    </row>
    <row r="170" spans="2:10" x14ac:dyDescent="0.25">
      <c r="B170" s="577" t="s">
        <v>90</v>
      </c>
      <c r="C170" s="387">
        <f>+'C-SH-6A ConsCombFloPesq,04-21'!C171/42</f>
        <v>245.23809523809524</v>
      </c>
      <c r="D170" s="387">
        <f>+'C-SH-6A ConsCombFloPesq,04-21'!D171/42</f>
        <v>14796.809523809523</v>
      </c>
      <c r="E170" s="387">
        <f>+'C-SH-6A ConsCombFloPesq,04-21'!E171/42</f>
        <v>0</v>
      </c>
      <c r="F170" s="387">
        <f>+'C-SH-6A ConsCombFloPesq,04-21'!F171/42</f>
        <v>0</v>
      </c>
      <c r="G170" s="387">
        <f>+'C-SH-6A ConsCombFloPesq,04-21'!G171/42</f>
        <v>0</v>
      </c>
      <c r="H170" s="387">
        <f>+'C-SH-6A ConsCombFloPesq,04-21'!H171/42</f>
        <v>0</v>
      </c>
      <c r="I170" s="387">
        <f>+'C-SH-6A ConsCombFloPesq,04-21'!I171/42</f>
        <v>0</v>
      </c>
      <c r="J170" s="387">
        <f>+'C-SH-6A ConsCombFloPesq,04-21'!J172/42</f>
        <v>11124.357142857143</v>
      </c>
    </row>
    <row r="171" spans="2:10" x14ac:dyDescent="0.25">
      <c r="B171" s="577" t="s">
        <v>91</v>
      </c>
      <c r="C171" s="387">
        <f>+'C-SH-6A ConsCombFloPesq,04-21'!C172/42</f>
        <v>228.57142857142858</v>
      </c>
      <c r="D171" s="387">
        <f>+'C-SH-6A ConsCombFloPesq,04-21'!D172/42</f>
        <v>10895.785714285714</v>
      </c>
      <c r="E171" s="387">
        <f>+'C-SH-6A ConsCombFloPesq,04-21'!E172/42</f>
        <v>0</v>
      </c>
      <c r="F171" s="387">
        <f>+'C-SH-6A ConsCombFloPesq,04-21'!F172/42</f>
        <v>0</v>
      </c>
      <c r="G171" s="387">
        <f>+'C-SH-6A ConsCombFloPesq,04-21'!G172/42</f>
        <v>0</v>
      </c>
      <c r="H171" s="387">
        <f>+'C-SH-6A ConsCombFloPesq,04-21'!H172/42</f>
        <v>0</v>
      </c>
      <c r="I171" s="387">
        <f>+'C-SH-6A ConsCombFloPesq,04-21'!I172/42</f>
        <v>0</v>
      </c>
      <c r="J171" s="387">
        <f>+'C-SH-6A ConsCombFloPesq,04-21'!J173/42</f>
        <v>42663.095238095237</v>
      </c>
    </row>
    <row r="172" spans="2:10" ht="15.6" x14ac:dyDescent="0.25">
      <c r="B172" s="570" t="s">
        <v>139</v>
      </c>
      <c r="C172" s="380">
        <f t="shared" ref="C172:I172" si="27">SUM(C169:C171)</f>
        <v>810.71428571428567</v>
      </c>
      <c r="D172" s="380">
        <f t="shared" si="27"/>
        <v>41852.380952380947</v>
      </c>
      <c r="E172" s="380">
        <f t="shared" si="27"/>
        <v>0</v>
      </c>
      <c r="F172" s="380">
        <f t="shared" si="27"/>
        <v>0</v>
      </c>
      <c r="G172" s="380">
        <f t="shared" si="27"/>
        <v>0</v>
      </c>
      <c r="H172" s="380">
        <f t="shared" si="27"/>
        <v>0</v>
      </c>
      <c r="I172" s="666">
        <f t="shared" si="27"/>
        <v>0</v>
      </c>
      <c r="J172" s="380">
        <f>+C172+D172+E172+F172+G172+H172+I172</f>
        <v>42663.095238095229</v>
      </c>
    </row>
    <row r="173" spans="2:10" x14ac:dyDescent="0.25">
      <c r="B173" s="577"/>
      <c r="C173" s="387"/>
      <c r="D173" s="387"/>
      <c r="E173" s="387"/>
      <c r="F173" s="387"/>
      <c r="G173" s="387"/>
      <c r="H173" s="664"/>
      <c r="I173" s="388"/>
      <c r="J173" s="387"/>
    </row>
    <row r="174" spans="2:10" x14ac:dyDescent="0.25">
      <c r="B174" s="577" t="s">
        <v>93</v>
      </c>
      <c r="C174" s="387">
        <f>+'C-SH-6A ConsCombFloPesq,04-21'!C175/42</f>
        <v>430.95238095238096</v>
      </c>
      <c r="D174" s="387">
        <f>+'C-SH-6A ConsCombFloPesq,04-21'!D175/42</f>
        <v>9663.9761904761908</v>
      </c>
      <c r="E174" s="387">
        <f>+'C-SH-6A ConsCombFloPesq,04-21'!E175/42</f>
        <v>0</v>
      </c>
      <c r="F174" s="387">
        <f>+'C-SH-6A ConsCombFloPesq,04-21'!F175/42</f>
        <v>0</v>
      </c>
      <c r="G174" s="387">
        <f>+'C-SH-6A ConsCombFloPesq,04-21'!G175/42</f>
        <v>0</v>
      </c>
      <c r="H174" s="387">
        <f>+'C-SH-6A ConsCombFloPesq,04-21'!H175/42</f>
        <v>0</v>
      </c>
      <c r="I174" s="387">
        <f>+'C-SH-6A ConsCombFloPesq,04-21'!I175/42</f>
        <v>0</v>
      </c>
      <c r="J174" s="387">
        <f>+'C-SH-6A ConsCombFloPesq,04-21'!J176/42</f>
        <v>11872.619047619048</v>
      </c>
    </row>
    <row r="175" spans="2:10" x14ac:dyDescent="0.25">
      <c r="B175" s="577" t="s">
        <v>94</v>
      </c>
      <c r="C175" s="387">
        <f>+'C-SH-6A ConsCombFloPesq,04-21'!C176/42</f>
        <v>419.04761904761904</v>
      </c>
      <c r="D175" s="387">
        <f>+'C-SH-6A ConsCombFloPesq,04-21'!D176/42</f>
        <v>11453.571428571429</v>
      </c>
      <c r="E175" s="387">
        <f>+'C-SH-6A ConsCombFloPesq,04-21'!E176/42</f>
        <v>0</v>
      </c>
      <c r="F175" s="387">
        <f>+'C-SH-6A ConsCombFloPesq,04-21'!F176/42</f>
        <v>0</v>
      </c>
      <c r="G175" s="387">
        <f>+'C-SH-6A ConsCombFloPesq,04-21'!G176/42</f>
        <v>0</v>
      </c>
      <c r="H175" s="387">
        <f>+'C-SH-6A ConsCombFloPesq,04-21'!H176/42</f>
        <v>0</v>
      </c>
      <c r="I175" s="387">
        <f>+'C-SH-6A ConsCombFloPesq,04-21'!I176/42</f>
        <v>0</v>
      </c>
      <c r="J175" s="387">
        <f>+'C-SH-6A ConsCombFloPesq,04-21'!J177/42</f>
        <v>5041.0714285714284</v>
      </c>
    </row>
    <row r="176" spans="2:10" x14ac:dyDescent="0.25">
      <c r="B176" s="577" t="s">
        <v>101</v>
      </c>
      <c r="C176" s="387">
        <f>+'C-SH-6A ConsCombFloPesq,04-21'!C177/42</f>
        <v>321.42857142857144</v>
      </c>
      <c r="D176" s="387">
        <f>+'C-SH-6A ConsCombFloPesq,04-21'!D177/42</f>
        <v>4719.6428571428569</v>
      </c>
      <c r="E176" s="387">
        <f>+'C-SH-6A ConsCombFloPesq,04-21'!E177/42</f>
        <v>0</v>
      </c>
      <c r="F176" s="387">
        <f>+'C-SH-6A ConsCombFloPesq,04-21'!F177/42</f>
        <v>0</v>
      </c>
      <c r="G176" s="387">
        <f>+'C-SH-6A ConsCombFloPesq,04-21'!G177/42</f>
        <v>0</v>
      </c>
      <c r="H176" s="387">
        <f>+'C-SH-6A ConsCombFloPesq,04-21'!H177/42</f>
        <v>0</v>
      </c>
      <c r="I176" s="387">
        <f>+'C-SH-6A ConsCombFloPesq,04-21'!I177/42</f>
        <v>0</v>
      </c>
      <c r="J176" s="387">
        <f>+'C-SH-6A ConsCombFloPesq,04-21'!J178/42</f>
        <v>27008.619047619046</v>
      </c>
    </row>
    <row r="177" spans="2:10" ht="15.6" x14ac:dyDescent="0.25">
      <c r="B177" s="570" t="s">
        <v>140</v>
      </c>
      <c r="C177" s="380">
        <f t="shared" ref="C177:I177" si="28">SUM(C174:C176)</f>
        <v>1171.4285714285716</v>
      </c>
      <c r="D177" s="380">
        <f t="shared" si="28"/>
        <v>25837.190476190473</v>
      </c>
      <c r="E177" s="380">
        <f t="shared" si="28"/>
        <v>0</v>
      </c>
      <c r="F177" s="380">
        <f t="shared" si="28"/>
        <v>0</v>
      </c>
      <c r="G177" s="380">
        <f t="shared" si="28"/>
        <v>0</v>
      </c>
      <c r="H177" s="380">
        <f t="shared" si="28"/>
        <v>0</v>
      </c>
      <c r="I177" s="666">
        <f t="shared" si="28"/>
        <v>0</v>
      </c>
      <c r="J177" s="380">
        <f>+C177+D177+E177+F177+G177+H177+I177</f>
        <v>27008.619047619046</v>
      </c>
    </row>
    <row r="178" spans="2:10" x14ac:dyDescent="0.25">
      <c r="B178" s="577"/>
      <c r="C178" s="387"/>
      <c r="D178" s="387"/>
      <c r="E178" s="387"/>
      <c r="F178" s="387"/>
      <c r="G178" s="387"/>
      <c r="H178" s="664"/>
      <c r="I178" s="388"/>
      <c r="J178" s="387"/>
    </row>
    <row r="179" spans="2:10" x14ac:dyDescent="0.25">
      <c r="B179" s="577" t="s">
        <v>95</v>
      </c>
      <c r="C179" s="387">
        <f>+'C-SH-6A ConsCombFloPesq,04-21'!C180/42</f>
        <v>342.85714285714283</v>
      </c>
      <c r="D179" s="387">
        <f>+'C-SH-6A ConsCombFloPesq,04-21'!D180/42</f>
        <v>11953.452380952382</v>
      </c>
      <c r="E179" s="387">
        <f>+'C-SH-6A ConsCombFloPesq,04-21'!E180/42</f>
        <v>0</v>
      </c>
      <c r="F179" s="387">
        <f>+'C-SH-6A ConsCombFloPesq,04-21'!F180/42</f>
        <v>0</v>
      </c>
      <c r="G179" s="387">
        <f>+'C-SH-6A ConsCombFloPesq,04-21'!G180/42</f>
        <v>0</v>
      </c>
      <c r="H179" s="387">
        <f>+'C-SH-6A ConsCombFloPesq,04-21'!H180/42</f>
        <v>119.04761904761905</v>
      </c>
      <c r="I179" s="387">
        <f>+'C-SH-6A ConsCombFloPesq,04-21'!I180/42</f>
        <v>0</v>
      </c>
      <c r="J179" s="387">
        <f>+'C-SH-6A ConsCombFloPesq,04-21'!J181/42</f>
        <v>6834.5238095238092</v>
      </c>
    </row>
    <row r="180" spans="2:10" x14ac:dyDescent="0.25">
      <c r="B180" s="577" t="s">
        <v>96</v>
      </c>
      <c r="C180" s="387">
        <f>+'C-SH-6A ConsCombFloPesq,04-21'!C181/42</f>
        <v>338.09523809523807</v>
      </c>
      <c r="D180" s="387">
        <f>+'C-SH-6A ConsCombFloPesq,04-21'!D181/42</f>
        <v>6496.4285714285716</v>
      </c>
      <c r="E180" s="387">
        <f>+'C-SH-6A ConsCombFloPesq,04-21'!E181/42</f>
        <v>0</v>
      </c>
      <c r="F180" s="387">
        <f>+'C-SH-6A ConsCombFloPesq,04-21'!F181/42</f>
        <v>0</v>
      </c>
      <c r="G180" s="387">
        <f>+'C-SH-6A ConsCombFloPesq,04-21'!G181/42</f>
        <v>0</v>
      </c>
      <c r="H180" s="387">
        <f>+'C-SH-6A ConsCombFloPesq,04-21'!H181/42</f>
        <v>0</v>
      </c>
      <c r="I180" s="387">
        <f>+'C-SH-6A ConsCombFloPesq,04-21'!I181/42</f>
        <v>0</v>
      </c>
      <c r="J180" s="387">
        <f>+'C-SH-6A ConsCombFloPesq,04-21'!J182/42</f>
        <v>9118.6428571428569</v>
      </c>
    </row>
    <row r="181" spans="2:10" x14ac:dyDescent="0.25">
      <c r="B181" s="577" t="s">
        <v>97</v>
      </c>
      <c r="C181" s="387">
        <f>+'C-SH-6A ConsCombFloPesq,04-21'!C182/42</f>
        <v>522.61904761904759</v>
      </c>
      <c r="D181" s="387">
        <f>+'C-SH-6A ConsCombFloPesq,04-21'!D182/42</f>
        <v>8596.0238095238092</v>
      </c>
      <c r="E181" s="387">
        <f>+'C-SH-6A ConsCombFloPesq,04-21'!E182/42</f>
        <v>0</v>
      </c>
      <c r="F181" s="387">
        <f>+'C-SH-6A ConsCombFloPesq,04-21'!F182/42</f>
        <v>0</v>
      </c>
      <c r="G181" s="387">
        <f>+'C-SH-6A ConsCombFloPesq,04-21'!G182/42</f>
        <v>0</v>
      </c>
      <c r="H181" s="387">
        <f>+'C-SH-6A ConsCombFloPesq,04-21'!H182/42</f>
        <v>0</v>
      </c>
      <c r="I181" s="387">
        <f>+'C-SH-6A ConsCombFloPesq,04-21'!I182/42</f>
        <v>0</v>
      </c>
      <c r="J181" s="387">
        <f>+'C-SH-6A ConsCombFloPesq,04-21'!J183/42</f>
        <v>28368.523809523809</v>
      </c>
    </row>
    <row r="182" spans="2:10" ht="15.6" x14ac:dyDescent="0.25">
      <c r="B182" s="570" t="s">
        <v>141</v>
      </c>
      <c r="C182" s="380">
        <f t="shared" ref="C182:I182" si="29">SUM(C179:C181)</f>
        <v>1203.5714285714284</v>
      </c>
      <c r="D182" s="380">
        <f t="shared" si="29"/>
        <v>27045.904761904763</v>
      </c>
      <c r="E182" s="380">
        <f t="shared" si="29"/>
        <v>0</v>
      </c>
      <c r="F182" s="380">
        <f t="shared" si="29"/>
        <v>0</v>
      </c>
      <c r="G182" s="380">
        <f t="shared" si="29"/>
        <v>0</v>
      </c>
      <c r="H182" s="380">
        <f t="shared" si="29"/>
        <v>119.04761904761905</v>
      </c>
      <c r="I182" s="666">
        <f t="shared" si="29"/>
        <v>0</v>
      </c>
      <c r="J182" s="380">
        <f>+C182+D182+E182+F182+G182+H182+I182</f>
        <v>28368.523809523809</v>
      </c>
    </row>
    <row r="183" spans="2:10" ht="15.6" thickBot="1" x14ac:dyDescent="0.3">
      <c r="B183" s="593"/>
      <c r="C183" s="381"/>
      <c r="D183" s="381"/>
      <c r="E183" s="381"/>
      <c r="F183" s="381"/>
      <c r="G183" s="381"/>
      <c r="H183" s="665"/>
      <c r="I183" s="389"/>
      <c r="J183" s="381"/>
    </row>
    <row r="184" spans="2:10" x14ac:dyDescent="0.25">
      <c r="B184" s="14" t="s">
        <v>219</v>
      </c>
    </row>
    <row r="186" spans="2:10" ht="15.6" x14ac:dyDescent="0.25">
      <c r="B186" s="864" t="s">
        <v>191</v>
      </c>
      <c r="C186" s="864"/>
      <c r="D186" s="864"/>
      <c r="E186" s="864"/>
      <c r="F186" s="864"/>
      <c r="G186" s="864"/>
      <c r="H186" s="864"/>
      <c r="I186" s="864"/>
      <c r="J186" s="864"/>
    </row>
    <row r="187" spans="2:10" ht="15.6" x14ac:dyDescent="0.25">
      <c r="B187" s="864" t="s">
        <v>137</v>
      </c>
      <c r="C187" s="864"/>
      <c r="D187" s="864"/>
      <c r="E187" s="864"/>
      <c r="F187" s="864"/>
      <c r="G187" s="864"/>
      <c r="H187" s="864"/>
      <c r="I187" s="864"/>
      <c r="J187" s="864"/>
    </row>
    <row r="188" spans="2:10" ht="15.6" x14ac:dyDescent="0.25">
      <c r="B188" s="864">
        <v>2015</v>
      </c>
      <c r="C188" s="864"/>
      <c r="D188" s="864"/>
      <c r="E188" s="864"/>
      <c r="F188" s="864"/>
      <c r="G188" s="864"/>
      <c r="H188" s="864"/>
      <c r="I188" s="864"/>
      <c r="J188" s="864"/>
    </row>
    <row r="189" spans="2:10" ht="16.2" thickBot="1" x14ac:dyDescent="0.3">
      <c r="B189" s="929" t="s">
        <v>27</v>
      </c>
      <c r="C189" s="929"/>
      <c r="D189" s="929"/>
      <c r="E189" s="929"/>
      <c r="F189" s="929"/>
      <c r="G189" s="929"/>
      <c r="H189" s="929"/>
      <c r="I189" s="929"/>
      <c r="J189" s="929"/>
    </row>
    <row r="190" spans="2:10" ht="16.2" thickBot="1" x14ac:dyDescent="0.3">
      <c r="B190" s="594" t="s">
        <v>100</v>
      </c>
      <c r="C190" s="595" t="s">
        <v>52</v>
      </c>
      <c r="D190" s="595" t="s">
        <v>123</v>
      </c>
      <c r="E190" s="595" t="s">
        <v>181</v>
      </c>
      <c r="F190" s="595" t="s">
        <v>131</v>
      </c>
      <c r="G190" s="595" t="s">
        <v>232</v>
      </c>
      <c r="H190" s="595" t="s">
        <v>233</v>
      </c>
      <c r="I190" s="594" t="s">
        <v>84</v>
      </c>
      <c r="J190" s="595" t="s">
        <v>78</v>
      </c>
    </row>
    <row r="191" spans="2:10" x14ac:dyDescent="0.25">
      <c r="B191" s="574"/>
      <c r="C191" s="377"/>
      <c r="D191" s="377"/>
      <c r="E191" s="378"/>
      <c r="F191" s="378"/>
      <c r="G191" s="378"/>
      <c r="H191" s="659"/>
      <c r="I191" s="379"/>
      <c r="J191" s="378"/>
    </row>
    <row r="192" spans="2:10" ht="15.6" x14ac:dyDescent="0.25">
      <c r="B192" s="570" t="s">
        <v>103</v>
      </c>
      <c r="C192" s="380">
        <f t="shared" ref="C192:H192" si="30">+C198+C203+C208+C213</f>
        <v>3002.3809523809523</v>
      </c>
      <c r="D192" s="380">
        <f t="shared" si="30"/>
        <v>155172.28571428574</v>
      </c>
      <c r="E192" s="380">
        <f t="shared" si="30"/>
        <v>0</v>
      </c>
      <c r="F192" s="380">
        <f t="shared" si="30"/>
        <v>0</v>
      </c>
      <c r="G192" s="380">
        <f t="shared" si="30"/>
        <v>0</v>
      </c>
      <c r="H192" s="660">
        <f t="shared" si="30"/>
        <v>0</v>
      </c>
      <c r="I192" s="666">
        <f>+I198+I203+I208+I213</f>
        <v>0</v>
      </c>
      <c r="J192" s="380">
        <f>+J198+J203+J208+J213</f>
        <v>158174.66666666669</v>
      </c>
    </row>
    <row r="193" spans="2:10" ht="15.6" thickBot="1" x14ac:dyDescent="0.3">
      <c r="B193" s="593"/>
      <c r="C193" s="381"/>
      <c r="D193" s="381"/>
      <c r="E193" s="382"/>
      <c r="F193" s="382"/>
      <c r="G193" s="382"/>
      <c r="H193" s="661"/>
      <c r="I193" s="383"/>
      <c r="J193" s="382"/>
    </row>
    <row r="194" spans="2:10" x14ac:dyDescent="0.25">
      <c r="B194" s="579"/>
      <c r="C194" s="384"/>
      <c r="D194" s="384"/>
      <c r="E194" s="385"/>
      <c r="F194" s="385"/>
      <c r="G194" s="385"/>
      <c r="H194" s="662"/>
      <c r="I194" s="386"/>
      <c r="J194" s="385"/>
    </row>
    <row r="195" spans="2:10" x14ac:dyDescent="0.25">
      <c r="B195" s="577" t="s">
        <v>86</v>
      </c>
      <c r="C195" s="387">
        <f>+'C-SH-6A ConsCombFloPesq,04-21'!C196/42</f>
        <v>198.8095238095238</v>
      </c>
      <c r="D195" s="387">
        <f>+'C-SH-6A ConsCombFloPesq,04-21'!D196/42</f>
        <v>10363.119047619048</v>
      </c>
      <c r="E195" s="387">
        <f>+'C-SH-6A ConsCombFloPesq,04-21'!E196/42</f>
        <v>0</v>
      </c>
      <c r="F195" s="387">
        <f>+'C-SH-6A ConsCombFloPesq,04-21'!F196/42</f>
        <v>0</v>
      </c>
      <c r="G195" s="387">
        <f>+'C-SH-6A ConsCombFloPesq,04-21'!G196/42</f>
        <v>0</v>
      </c>
      <c r="H195" s="387">
        <f>+'C-SH-6A ConsCombFloPesq,04-21'!H196/42</f>
        <v>0</v>
      </c>
      <c r="I195" s="387">
        <f>+'C-SH-6A ConsCombFloPesq,04-21'!I196/42</f>
        <v>0</v>
      </c>
      <c r="J195" s="387">
        <f>+'C-SH-6A ConsCombFloPesq,04-21'!J197/42</f>
        <v>8876.5238095238092</v>
      </c>
    </row>
    <row r="196" spans="2:10" x14ac:dyDescent="0.25">
      <c r="B196" s="577" t="s">
        <v>87</v>
      </c>
      <c r="C196" s="387">
        <f>+'C-SH-6A ConsCombFloPesq,04-21'!C197/42</f>
        <v>271.42857142857144</v>
      </c>
      <c r="D196" s="387">
        <f>+'C-SH-6A ConsCombFloPesq,04-21'!D197/42</f>
        <v>8605.0952380952385</v>
      </c>
      <c r="E196" s="387">
        <f>+'C-SH-6A ConsCombFloPesq,04-21'!E197/42</f>
        <v>0</v>
      </c>
      <c r="F196" s="387">
        <f>+'C-SH-6A ConsCombFloPesq,04-21'!F197/42</f>
        <v>0</v>
      </c>
      <c r="G196" s="387">
        <f>+'C-SH-6A ConsCombFloPesq,04-21'!G197/42</f>
        <v>0</v>
      </c>
      <c r="H196" s="387">
        <f>+'C-SH-6A ConsCombFloPesq,04-21'!H197/42</f>
        <v>0</v>
      </c>
      <c r="I196" s="387">
        <f>+'C-SH-6A ConsCombFloPesq,04-21'!I197/42</f>
        <v>0</v>
      </c>
      <c r="J196" s="387">
        <f>+'C-SH-6A ConsCombFloPesq,04-21'!J198/42</f>
        <v>6548.4285714285716</v>
      </c>
    </row>
    <row r="197" spans="2:10" x14ac:dyDescent="0.25">
      <c r="B197" s="577" t="s">
        <v>88</v>
      </c>
      <c r="C197" s="387">
        <f>+'C-SH-6A ConsCombFloPesq,04-21'!C198/42</f>
        <v>209.52380952380952</v>
      </c>
      <c r="D197" s="387">
        <f>+'C-SH-6A ConsCombFloPesq,04-21'!D198/42</f>
        <v>6338.9047619047615</v>
      </c>
      <c r="E197" s="387">
        <f>+'C-SH-6A ConsCombFloPesq,04-21'!E198/42</f>
        <v>0</v>
      </c>
      <c r="F197" s="387">
        <f>+'C-SH-6A ConsCombFloPesq,04-21'!F198/42</f>
        <v>0</v>
      </c>
      <c r="G197" s="387">
        <f>+'C-SH-6A ConsCombFloPesq,04-21'!G198/42</f>
        <v>0</v>
      </c>
      <c r="H197" s="387">
        <f>+'C-SH-6A ConsCombFloPesq,04-21'!H198/42</f>
        <v>0</v>
      </c>
      <c r="I197" s="387">
        <f>+'C-SH-6A ConsCombFloPesq,04-21'!I198/42</f>
        <v>0</v>
      </c>
      <c r="J197" s="387">
        <f>+'C-SH-6A ConsCombFloPesq,04-21'!J199/42</f>
        <v>25986.880952380954</v>
      </c>
    </row>
    <row r="198" spans="2:10" ht="15.6" x14ac:dyDescent="0.25">
      <c r="B198" s="570" t="s">
        <v>138</v>
      </c>
      <c r="C198" s="380">
        <f t="shared" ref="C198:I198" si="31">SUM(C195:C197)</f>
        <v>679.76190476190482</v>
      </c>
      <c r="D198" s="380">
        <f t="shared" si="31"/>
        <v>25307.119047619046</v>
      </c>
      <c r="E198" s="380">
        <f t="shared" si="31"/>
        <v>0</v>
      </c>
      <c r="F198" s="380">
        <f t="shared" si="31"/>
        <v>0</v>
      </c>
      <c r="G198" s="380">
        <f t="shared" si="31"/>
        <v>0</v>
      </c>
      <c r="H198" s="380">
        <f t="shared" si="31"/>
        <v>0</v>
      </c>
      <c r="I198" s="666">
        <f t="shared" si="31"/>
        <v>0</v>
      </c>
      <c r="J198" s="380">
        <f>+C198+D198+E198+F198+G198+H198+I198</f>
        <v>25986.88095238095</v>
      </c>
    </row>
    <row r="199" spans="2:10" x14ac:dyDescent="0.25">
      <c r="B199" s="577"/>
      <c r="C199" s="387"/>
      <c r="D199" s="387"/>
      <c r="E199" s="387"/>
      <c r="F199" s="387"/>
      <c r="G199" s="387"/>
      <c r="H199" s="664"/>
      <c r="I199" s="388"/>
      <c r="J199" s="387"/>
    </row>
    <row r="200" spans="2:10" x14ac:dyDescent="0.25">
      <c r="B200" s="577" t="s">
        <v>89</v>
      </c>
      <c r="C200" s="387">
        <f>+'C-SH-6A ConsCombFloPesq,04-21'!C201/42</f>
        <v>171.42857142857142</v>
      </c>
      <c r="D200" s="387">
        <f>+'C-SH-6A ConsCombFloPesq,04-21'!D201/42</f>
        <v>19212.761904761905</v>
      </c>
      <c r="E200" s="387">
        <f>+'C-SH-6A ConsCombFloPesq,04-21'!E201/42</f>
        <v>0</v>
      </c>
      <c r="F200" s="387">
        <f>+'C-SH-6A ConsCombFloPesq,04-21'!F201/42</f>
        <v>0</v>
      </c>
      <c r="G200" s="387">
        <f>+'C-SH-6A ConsCombFloPesq,04-21'!G201/42</f>
        <v>0</v>
      </c>
      <c r="H200" s="387">
        <f>+'C-SH-6A ConsCombFloPesq,04-21'!H201/42</f>
        <v>0</v>
      </c>
      <c r="I200" s="387">
        <f>+'C-SH-6A ConsCombFloPesq,04-21'!I201/42</f>
        <v>0</v>
      </c>
      <c r="J200" s="387">
        <f>+'C-SH-6A ConsCombFloPesq,04-21'!J202/42</f>
        <v>22222.476190476191</v>
      </c>
    </row>
    <row r="201" spans="2:10" x14ac:dyDescent="0.25">
      <c r="B201" s="577" t="s">
        <v>90</v>
      </c>
      <c r="C201" s="387">
        <f>+'C-SH-6A ConsCombFloPesq,04-21'!C202/42</f>
        <v>188.0952380952381</v>
      </c>
      <c r="D201" s="387">
        <f>+'C-SH-6A ConsCombFloPesq,04-21'!D202/42</f>
        <v>22034.380952380954</v>
      </c>
      <c r="E201" s="387">
        <f>+'C-SH-6A ConsCombFloPesq,04-21'!E202/42</f>
        <v>0</v>
      </c>
      <c r="F201" s="387">
        <f>+'C-SH-6A ConsCombFloPesq,04-21'!F202/42</f>
        <v>0</v>
      </c>
      <c r="G201" s="387">
        <f>+'C-SH-6A ConsCombFloPesq,04-21'!G202/42</f>
        <v>0</v>
      </c>
      <c r="H201" s="387">
        <f>+'C-SH-6A ConsCombFloPesq,04-21'!H202/42</f>
        <v>0</v>
      </c>
      <c r="I201" s="387">
        <f>+'C-SH-6A ConsCombFloPesq,04-21'!I202/42</f>
        <v>0</v>
      </c>
      <c r="J201" s="387">
        <f>+'C-SH-6A ConsCombFloPesq,04-21'!J203/42</f>
        <v>9156.8571428571431</v>
      </c>
    </row>
    <row r="202" spans="2:10" x14ac:dyDescent="0.25">
      <c r="B202" s="577" t="s">
        <v>91</v>
      </c>
      <c r="C202" s="387">
        <f>+'C-SH-6A ConsCombFloPesq,04-21'!C203/42</f>
        <v>309.52380952380952</v>
      </c>
      <c r="D202" s="387">
        <f>+'C-SH-6A ConsCombFloPesq,04-21'!D203/42</f>
        <v>8847.3333333333339</v>
      </c>
      <c r="E202" s="387">
        <f>+'C-SH-6A ConsCombFloPesq,04-21'!E203/42</f>
        <v>0</v>
      </c>
      <c r="F202" s="387">
        <f>+'C-SH-6A ConsCombFloPesq,04-21'!F203/42</f>
        <v>0</v>
      </c>
      <c r="G202" s="387">
        <f>+'C-SH-6A ConsCombFloPesq,04-21'!G203/42</f>
        <v>0</v>
      </c>
      <c r="H202" s="387">
        <f>+'C-SH-6A ConsCombFloPesq,04-21'!H203/42</f>
        <v>0</v>
      </c>
      <c r="I202" s="387">
        <f>+'C-SH-6A ConsCombFloPesq,04-21'!I203/42</f>
        <v>0</v>
      </c>
      <c r="J202" s="387">
        <f>+'C-SH-6A ConsCombFloPesq,04-21'!J204/42</f>
        <v>50763.523809523809</v>
      </c>
    </row>
    <row r="203" spans="2:10" ht="15.6" x14ac:dyDescent="0.25">
      <c r="B203" s="570" t="s">
        <v>139</v>
      </c>
      <c r="C203" s="380">
        <f t="shared" ref="C203:I203" si="32">SUM(C200:C202)</f>
        <v>669.04761904761904</v>
      </c>
      <c r="D203" s="380">
        <f t="shared" si="32"/>
        <v>50094.476190476191</v>
      </c>
      <c r="E203" s="380">
        <f t="shared" si="32"/>
        <v>0</v>
      </c>
      <c r="F203" s="380">
        <f t="shared" si="32"/>
        <v>0</v>
      </c>
      <c r="G203" s="380">
        <f t="shared" si="32"/>
        <v>0</v>
      </c>
      <c r="H203" s="380">
        <f t="shared" si="32"/>
        <v>0</v>
      </c>
      <c r="I203" s="666">
        <f t="shared" si="32"/>
        <v>0</v>
      </c>
      <c r="J203" s="380">
        <f>+C203+D203+E203+F203+G203+H203+I203</f>
        <v>50763.523809523809</v>
      </c>
    </row>
    <row r="204" spans="2:10" x14ac:dyDescent="0.25">
      <c r="B204" s="577"/>
      <c r="C204" s="387"/>
      <c r="D204" s="387"/>
      <c r="E204" s="387"/>
      <c r="F204" s="387"/>
      <c r="G204" s="387"/>
      <c r="H204" s="664"/>
      <c r="I204" s="388"/>
      <c r="J204" s="387"/>
    </row>
    <row r="205" spans="2:10" x14ac:dyDescent="0.25">
      <c r="B205" s="577" t="s">
        <v>93</v>
      </c>
      <c r="C205" s="387">
        <f>+'C-SH-6A ConsCombFloPesq,04-21'!C206/42</f>
        <v>344.04761904761904</v>
      </c>
      <c r="D205" s="387">
        <f>+'C-SH-6A ConsCombFloPesq,04-21'!D206/42</f>
        <v>13393.452380952382</v>
      </c>
      <c r="E205" s="387">
        <f>+'C-SH-6A ConsCombFloPesq,04-21'!E206/42</f>
        <v>0</v>
      </c>
      <c r="F205" s="387">
        <f>+'C-SH-6A ConsCombFloPesq,04-21'!F206/42</f>
        <v>0</v>
      </c>
      <c r="G205" s="387">
        <f>+'C-SH-6A ConsCombFloPesq,04-21'!G206/42</f>
        <v>0</v>
      </c>
      <c r="H205" s="387">
        <f>+'C-SH-6A ConsCombFloPesq,04-21'!H206/42</f>
        <v>0</v>
      </c>
      <c r="I205" s="387">
        <f>+'C-SH-6A ConsCombFloPesq,04-21'!I206/42</f>
        <v>0</v>
      </c>
      <c r="J205" s="387">
        <f>+'C-SH-6A ConsCombFloPesq,04-21'!J207/42</f>
        <v>9204.9761904761908</v>
      </c>
    </row>
    <row r="206" spans="2:10" x14ac:dyDescent="0.25">
      <c r="B206" s="577" t="s">
        <v>94</v>
      </c>
      <c r="C206" s="387">
        <f>+'C-SH-6A ConsCombFloPesq,04-21'!C207/42</f>
        <v>226.1904761904762</v>
      </c>
      <c r="D206" s="387">
        <f>+'C-SH-6A ConsCombFloPesq,04-21'!D207/42</f>
        <v>8978.7857142857138</v>
      </c>
      <c r="E206" s="387">
        <f>+'C-SH-6A ConsCombFloPesq,04-21'!E207/42</f>
        <v>0</v>
      </c>
      <c r="F206" s="387">
        <f>+'C-SH-6A ConsCombFloPesq,04-21'!F207/42</f>
        <v>0</v>
      </c>
      <c r="G206" s="387">
        <f>+'C-SH-6A ConsCombFloPesq,04-21'!G207/42</f>
        <v>0</v>
      </c>
      <c r="H206" s="387">
        <f>+'C-SH-6A ConsCombFloPesq,04-21'!H207/42</f>
        <v>0</v>
      </c>
      <c r="I206" s="387">
        <f>+'C-SH-6A ConsCombFloPesq,04-21'!I207/42</f>
        <v>0</v>
      </c>
      <c r="J206" s="387">
        <f>+'C-SH-6A ConsCombFloPesq,04-21'!J208/42</f>
        <v>13677.047619047618</v>
      </c>
    </row>
    <row r="207" spans="2:10" x14ac:dyDescent="0.25">
      <c r="B207" s="577" t="s">
        <v>101</v>
      </c>
      <c r="C207" s="387">
        <f>+'C-SH-6A ConsCombFloPesq,04-21'!C208/42</f>
        <v>180.95238095238096</v>
      </c>
      <c r="D207" s="387">
        <f>+'C-SH-6A ConsCombFloPesq,04-21'!D208/42</f>
        <v>13496.095238095239</v>
      </c>
      <c r="E207" s="387">
        <f>+'C-SH-6A ConsCombFloPesq,04-21'!E208/42</f>
        <v>0</v>
      </c>
      <c r="F207" s="387">
        <f>+'C-SH-6A ConsCombFloPesq,04-21'!F208/42</f>
        <v>0</v>
      </c>
      <c r="G207" s="387">
        <f>+'C-SH-6A ConsCombFloPesq,04-21'!G208/42</f>
        <v>0</v>
      </c>
      <c r="H207" s="387">
        <f>+'C-SH-6A ConsCombFloPesq,04-21'!H208/42</f>
        <v>0</v>
      </c>
      <c r="I207" s="387">
        <f>+'C-SH-6A ConsCombFloPesq,04-21'!I208/42</f>
        <v>0</v>
      </c>
      <c r="J207" s="387">
        <f>+'C-SH-6A ConsCombFloPesq,04-21'!J209/42</f>
        <v>36619.523809523809</v>
      </c>
    </row>
    <row r="208" spans="2:10" ht="15.6" x14ac:dyDescent="0.25">
      <c r="B208" s="570" t="s">
        <v>140</v>
      </c>
      <c r="C208" s="380">
        <f t="shared" ref="C208:I208" si="33">SUM(C205:C207)</f>
        <v>751.19047619047615</v>
      </c>
      <c r="D208" s="380">
        <f t="shared" si="33"/>
        <v>35868.333333333336</v>
      </c>
      <c r="E208" s="380">
        <f t="shared" si="33"/>
        <v>0</v>
      </c>
      <c r="F208" s="380">
        <f t="shared" si="33"/>
        <v>0</v>
      </c>
      <c r="G208" s="380">
        <f t="shared" si="33"/>
        <v>0</v>
      </c>
      <c r="H208" s="380">
        <f t="shared" si="33"/>
        <v>0</v>
      </c>
      <c r="I208" s="666">
        <f t="shared" si="33"/>
        <v>0</v>
      </c>
      <c r="J208" s="380">
        <f>+C208+D208+E208+F208+G208+H208+I208</f>
        <v>36619.523809523809</v>
      </c>
    </row>
    <row r="209" spans="2:10" x14ac:dyDescent="0.25">
      <c r="B209" s="577"/>
      <c r="C209" s="387"/>
      <c r="D209" s="387"/>
      <c r="E209" s="387"/>
      <c r="F209" s="387"/>
      <c r="G209" s="387"/>
      <c r="H209" s="664"/>
      <c r="I209" s="388"/>
      <c r="J209" s="387"/>
    </row>
    <row r="210" spans="2:10" x14ac:dyDescent="0.25">
      <c r="B210" s="577" t="s">
        <v>95</v>
      </c>
      <c r="C210" s="387">
        <f>+'C-SH-6A ConsCombFloPesq,04-21'!C211/42</f>
        <v>228.57142857142858</v>
      </c>
      <c r="D210" s="387">
        <f>+'C-SH-6A ConsCombFloPesq,04-21'!D211/42</f>
        <v>19905.690476190477</v>
      </c>
      <c r="E210" s="387">
        <f>+'C-SH-6A ConsCombFloPesq,04-21'!E211/42</f>
        <v>0</v>
      </c>
      <c r="F210" s="387">
        <f>+'C-SH-6A ConsCombFloPesq,04-21'!F211/42</f>
        <v>0</v>
      </c>
      <c r="G210" s="387">
        <f>+'C-SH-6A ConsCombFloPesq,04-21'!G211/42</f>
        <v>0</v>
      </c>
      <c r="H210" s="387">
        <f>+'C-SH-6A ConsCombFloPesq,04-21'!H211/42</f>
        <v>0</v>
      </c>
      <c r="I210" s="387">
        <f>+'C-SH-6A ConsCombFloPesq,04-21'!I211/42</f>
        <v>0</v>
      </c>
      <c r="J210" s="387">
        <f>+'C-SH-6A ConsCombFloPesq,04-21'!J212/42</f>
        <v>9906.2857142857138</v>
      </c>
    </row>
    <row r="211" spans="2:10" x14ac:dyDescent="0.25">
      <c r="B211" s="577" t="s">
        <v>96</v>
      </c>
      <c r="C211" s="387">
        <f>+'C-SH-6A ConsCombFloPesq,04-21'!C212/42</f>
        <v>290.47619047619048</v>
      </c>
      <c r="D211" s="387">
        <f>+'C-SH-6A ConsCombFloPesq,04-21'!D212/42</f>
        <v>9615.8095238095229</v>
      </c>
      <c r="E211" s="387">
        <f>+'C-SH-6A ConsCombFloPesq,04-21'!E212/42</f>
        <v>0</v>
      </c>
      <c r="F211" s="387">
        <f>+'C-SH-6A ConsCombFloPesq,04-21'!F212/42</f>
        <v>0</v>
      </c>
      <c r="G211" s="387">
        <f>+'C-SH-6A ConsCombFloPesq,04-21'!G212/42</f>
        <v>0</v>
      </c>
      <c r="H211" s="387">
        <f>+'C-SH-6A ConsCombFloPesq,04-21'!H212/42</f>
        <v>0</v>
      </c>
      <c r="I211" s="387">
        <f>+'C-SH-6A ConsCombFloPesq,04-21'!I212/42</f>
        <v>0</v>
      </c>
      <c r="J211" s="387">
        <f>+'C-SH-6A ConsCombFloPesq,04-21'!J213/42</f>
        <v>14764.190476190477</v>
      </c>
    </row>
    <row r="212" spans="2:10" x14ac:dyDescent="0.25">
      <c r="B212" s="577" t="s">
        <v>97</v>
      </c>
      <c r="C212" s="387">
        <f>+'C-SH-6A ConsCombFloPesq,04-21'!C213/42</f>
        <v>383.33333333333331</v>
      </c>
      <c r="D212" s="387">
        <f>+'C-SH-6A ConsCombFloPesq,04-21'!D213/42</f>
        <v>14380.857142857143</v>
      </c>
      <c r="E212" s="387">
        <f>+'C-SH-6A ConsCombFloPesq,04-21'!E213/42</f>
        <v>0</v>
      </c>
      <c r="F212" s="387">
        <f>+'C-SH-6A ConsCombFloPesq,04-21'!F213/42</f>
        <v>0</v>
      </c>
      <c r="G212" s="387">
        <f>+'C-SH-6A ConsCombFloPesq,04-21'!G213/42</f>
        <v>0</v>
      </c>
      <c r="H212" s="387">
        <f>+'C-SH-6A ConsCombFloPesq,04-21'!H213/42</f>
        <v>0</v>
      </c>
      <c r="I212" s="387">
        <f>+'C-SH-6A ConsCombFloPesq,04-21'!I213/42</f>
        <v>0</v>
      </c>
      <c r="J212" s="387">
        <f>+'C-SH-6A ConsCombFloPesq,04-21'!J214/42</f>
        <v>44804.738095238092</v>
      </c>
    </row>
    <row r="213" spans="2:10" ht="15.6" x14ac:dyDescent="0.25">
      <c r="B213" s="570" t="s">
        <v>141</v>
      </c>
      <c r="C213" s="380">
        <f t="shared" ref="C213:I213" si="34">SUM(C210:C212)</f>
        <v>902.38095238095229</v>
      </c>
      <c r="D213" s="380">
        <f t="shared" si="34"/>
        <v>43902.357142857145</v>
      </c>
      <c r="E213" s="380">
        <f t="shared" si="34"/>
        <v>0</v>
      </c>
      <c r="F213" s="380">
        <f t="shared" si="34"/>
        <v>0</v>
      </c>
      <c r="G213" s="380">
        <f t="shared" si="34"/>
        <v>0</v>
      </c>
      <c r="H213" s="380">
        <f t="shared" si="34"/>
        <v>0</v>
      </c>
      <c r="I213" s="666">
        <f t="shared" si="34"/>
        <v>0</v>
      </c>
      <c r="J213" s="380">
        <f>+C213+D213+E213+F213+G213+H213+I213</f>
        <v>44804.738095238099</v>
      </c>
    </row>
    <row r="214" spans="2:10" ht="15.6" thickBot="1" x14ac:dyDescent="0.3">
      <c r="B214" s="593"/>
      <c r="C214" s="381"/>
      <c r="D214" s="381"/>
      <c r="E214" s="381"/>
      <c r="F214" s="381"/>
      <c r="G214" s="381"/>
      <c r="H214" s="665"/>
      <c r="I214" s="389"/>
      <c r="J214" s="381"/>
    </row>
    <row r="215" spans="2:10" x14ac:dyDescent="0.25">
      <c r="B215" s="14" t="s">
        <v>219</v>
      </c>
    </row>
    <row r="217" spans="2:10" ht="15.6" x14ac:dyDescent="0.25">
      <c r="B217" s="864" t="s">
        <v>191</v>
      </c>
      <c r="C217" s="864"/>
      <c r="D217" s="864"/>
      <c r="E217" s="864"/>
      <c r="F217" s="864"/>
      <c r="G217" s="864"/>
      <c r="H217" s="864"/>
      <c r="I217" s="864"/>
      <c r="J217" s="864"/>
    </row>
    <row r="218" spans="2:10" ht="15.6" x14ac:dyDescent="0.25">
      <c r="B218" s="864" t="s">
        <v>137</v>
      </c>
      <c r="C218" s="864"/>
      <c r="D218" s="864"/>
      <c r="E218" s="864"/>
      <c r="F218" s="864"/>
      <c r="G218" s="864"/>
      <c r="H218" s="864"/>
      <c r="I218" s="864"/>
      <c r="J218" s="864"/>
    </row>
    <row r="219" spans="2:10" ht="15.6" x14ac:dyDescent="0.25">
      <c r="B219" s="864">
        <v>2014</v>
      </c>
      <c r="C219" s="864"/>
      <c r="D219" s="864"/>
      <c r="E219" s="864"/>
      <c r="F219" s="864"/>
      <c r="G219" s="864"/>
      <c r="H219" s="864"/>
      <c r="I219" s="864"/>
      <c r="J219" s="864"/>
    </row>
    <row r="220" spans="2:10" ht="16.2" thickBot="1" x14ac:dyDescent="0.3">
      <c r="B220" s="929" t="s">
        <v>27</v>
      </c>
      <c r="C220" s="929"/>
      <c r="D220" s="929"/>
      <c r="E220" s="929"/>
      <c r="F220" s="929"/>
      <c r="G220" s="929"/>
      <c r="H220" s="929"/>
      <c r="I220" s="929"/>
      <c r="J220" s="929"/>
    </row>
    <row r="221" spans="2:10" ht="16.2" thickBot="1" x14ac:dyDescent="0.3">
      <c r="B221" s="594" t="s">
        <v>100</v>
      </c>
      <c r="C221" s="595" t="s">
        <v>52</v>
      </c>
      <c r="D221" s="595" t="s">
        <v>123</v>
      </c>
      <c r="E221" s="595" t="s">
        <v>181</v>
      </c>
      <c r="F221" s="595" t="s">
        <v>131</v>
      </c>
      <c r="G221" s="595" t="s">
        <v>232</v>
      </c>
      <c r="H221" s="595" t="s">
        <v>233</v>
      </c>
      <c r="I221" s="594" t="s">
        <v>84</v>
      </c>
      <c r="J221" s="595" t="s">
        <v>78</v>
      </c>
    </row>
    <row r="222" spans="2:10" x14ac:dyDescent="0.25">
      <c r="B222" s="574"/>
      <c r="C222" s="377"/>
      <c r="D222" s="377"/>
      <c r="E222" s="378"/>
      <c r="F222" s="378"/>
      <c r="G222" s="378"/>
      <c r="H222" s="659"/>
      <c r="I222" s="379"/>
      <c r="J222" s="378"/>
    </row>
    <row r="223" spans="2:10" ht="15.6" x14ac:dyDescent="0.25">
      <c r="B223" s="570" t="s">
        <v>103</v>
      </c>
      <c r="C223" s="380">
        <f t="shared" ref="C223:H223" si="35">+C229+C234+C239+C244</f>
        <v>2415.4761904761908</v>
      </c>
      <c r="D223" s="380">
        <f t="shared" si="35"/>
        <v>138867.85714285716</v>
      </c>
      <c r="E223" s="380">
        <f t="shared" si="35"/>
        <v>0</v>
      </c>
      <c r="F223" s="380">
        <f t="shared" si="35"/>
        <v>0</v>
      </c>
      <c r="G223" s="380">
        <f t="shared" si="35"/>
        <v>0</v>
      </c>
      <c r="H223" s="660">
        <f t="shared" si="35"/>
        <v>107.14285714285714</v>
      </c>
      <c r="I223" s="666">
        <f>+I229+I234+I239+I244</f>
        <v>312.54761904761904</v>
      </c>
      <c r="J223" s="380">
        <f>+J229+J234+J239+J244</f>
        <v>141703.02380952379</v>
      </c>
    </row>
    <row r="224" spans="2:10" ht="15.6" thickBot="1" x14ac:dyDescent="0.3">
      <c r="B224" s="593"/>
      <c r="C224" s="381"/>
      <c r="D224" s="381"/>
      <c r="E224" s="382"/>
      <c r="F224" s="382"/>
      <c r="G224" s="382"/>
      <c r="H224" s="661"/>
      <c r="I224" s="383"/>
      <c r="J224" s="382"/>
    </row>
    <row r="225" spans="2:10" x14ac:dyDescent="0.25">
      <c r="B225" s="579"/>
      <c r="C225" s="384"/>
      <c r="D225" s="384"/>
      <c r="E225" s="385"/>
      <c r="F225" s="385"/>
      <c r="G225" s="385"/>
      <c r="H225" s="662"/>
      <c r="I225" s="386"/>
      <c r="J225" s="385"/>
    </row>
    <row r="226" spans="2:10" x14ac:dyDescent="0.25">
      <c r="B226" s="577" t="s">
        <v>86</v>
      </c>
      <c r="C226" s="387">
        <f>+'C-SH-6A ConsCombFloPesq,04-21'!C227/42</f>
        <v>245.23809523809524</v>
      </c>
      <c r="D226" s="387">
        <f>+'C-SH-6A ConsCombFloPesq,04-21'!D227/42</f>
        <v>10037.238095238095</v>
      </c>
      <c r="E226" s="387">
        <f>+'C-SH-6A ConsCombFloPesq,04-21'!E227/42</f>
        <v>0</v>
      </c>
      <c r="F226" s="387">
        <f>+'C-SH-6A ConsCombFloPesq,04-21'!F227/42</f>
        <v>0</v>
      </c>
      <c r="G226" s="387">
        <f>+'C-SH-6A ConsCombFloPesq,04-21'!G227/42</f>
        <v>0</v>
      </c>
      <c r="H226" s="387">
        <f>+'C-SH-6A ConsCombFloPesq,04-21'!H227/42</f>
        <v>0</v>
      </c>
      <c r="I226" s="387">
        <f>+'C-SH-6A ConsCombFloPesq,04-21'!I227/42</f>
        <v>98.19047619047619</v>
      </c>
      <c r="J226" s="387">
        <f>+'C-SH-6A ConsCombFloPesq,04-21'!J228/42</f>
        <v>4346.3809523809523</v>
      </c>
    </row>
    <row r="227" spans="2:10" x14ac:dyDescent="0.25">
      <c r="B227" s="577" t="s">
        <v>87</v>
      </c>
      <c r="C227" s="387">
        <f>+'C-SH-6A ConsCombFloPesq,04-21'!C228/42</f>
        <v>285.71428571428572</v>
      </c>
      <c r="D227" s="387">
        <f>+'C-SH-6A ConsCombFloPesq,04-21'!D228/42</f>
        <v>4060.6666666666665</v>
      </c>
      <c r="E227" s="387">
        <f>+'C-SH-6A ConsCombFloPesq,04-21'!E228/42</f>
        <v>0</v>
      </c>
      <c r="F227" s="387">
        <f>+'C-SH-6A ConsCombFloPesq,04-21'!F228/42</f>
        <v>0</v>
      </c>
      <c r="G227" s="387">
        <f>+'C-SH-6A ConsCombFloPesq,04-21'!G228/42</f>
        <v>0</v>
      </c>
      <c r="H227" s="387">
        <f>+'C-SH-6A ConsCombFloPesq,04-21'!H228/42</f>
        <v>0</v>
      </c>
      <c r="I227" s="387">
        <f>+'C-SH-6A ConsCombFloPesq,04-21'!I228/42</f>
        <v>0</v>
      </c>
      <c r="J227" s="387">
        <f>+'C-SH-6A ConsCombFloPesq,04-21'!J229/42</f>
        <v>9319.0714285714294</v>
      </c>
    </row>
    <row r="228" spans="2:10" x14ac:dyDescent="0.25">
      <c r="B228" s="577" t="s">
        <v>88</v>
      </c>
      <c r="C228" s="387">
        <f>+'C-SH-6A ConsCombFloPesq,04-21'!C229/42</f>
        <v>200</v>
      </c>
      <c r="D228" s="387">
        <f>+'C-SH-6A ConsCombFloPesq,04-21'!D229/42</f>
        <v>9098.8571428571431</v>
      </c>
      <c r="E228" s="387">
        <f>+'C-SH-6A ConsCombFloPesq,04-21'!E229/42</f>
        <v>0</v>
      </c>
      <c r="F228" s="387">
        <f>+'C-SH-6A ConsCombFloPesq,04-21'!F229/42</f>
        <v>0</v>
      </c>
      <c r="G228" s="387">
        <f>+'C-SH-6A ConsCombFloPesq,04-21'!G229/42</f>
        <v>0</v>
      </c>
      <c r="H228" s="387">
        <f>+'C-SH-6A ConsCombFloPesq,04-21'!H229/42</f>
        <v>0</v>
      </c>
      <c r="I228" s="387">
        <f>+'C-SH-6A ConsCombFloPesq,04-21'!I229/42</f>
        <v>20.214285714285715</v>
      </c>
      <c r="J228" s="387">
        <f>+'C-SH-6A ConsCombFloPesq,04-21'!J230/42</f>
        <v>24046.119047619046</v>
      </c>
    </row>
    <row r="229" spans="2:10" ht="15.6" x14ac:dyDescent="0.25">
      <c r="B229" s="570" t="s">
        <v>138</v>
      </c>
      <c r="C229" s="380">
        <f t="shared" ref="C229:I229" si="36">SUM(C226:C228)</f>
        <v>730.95238095238096</v>
      </c>
      <c r="D229" s="380">
        <f t="shared" si="36"/>
        <v>23196.761904761905</v>
      </c>
      <c r="E229" s="380">
        <f t="shared" si="36"/>
        <v>0</v>
      </c>
      <c r="F229" s="380">
        <f t="shared" si="36"/>
        <v>0</v>
      </c>
      <c r="G229" s="380">
        <f t="shared" si="36"/>
        <v>0</v>
      </c>
      <c r="H229" s="380">
        <f t="shared" si="36"/>
        <v>0</v>
      </c>
      <c r="I229" s="666">
        <f t="shared" si="36"/>
        <v>118.4047619047619</v>
      </c>
      <c r="J229" s="380">
        <f>+C229+D229+E229+F229+G229+H229+I229</f>
        <v>24046.11904761905</v>
      </c>
    </row>
    <row r="230" spans="2:10" x14ac:dyDescent="0.25">
      <c r="B230" s="577"/>
      <c r="C230" s="387"/>
      <c r="D230" s="387"/>
      <c r="E230" s="387"/>
      <c r="F230" s="387"/>
      <c r="G230" s="387"/>
      <c r="H230" s="664"/>
      <c r="I230" s="388"/>
      <c r="J230" s="387"/>
    </row>
    <row r="231" spans="2:10" x14ac:dyDescent="0.25">
      <c r="B231" s="577" t="s">
        <v>89</v>
      </c>
      <c r="C231" s="387">
        <f>+'C-SH-6A ConsCombFloPesq,04-21'!C232/42</f>
        <v>265.47619047619048</v>
      </c>
      <c r="D231" s="387">
        <f>+'C-SH-6A ConsCombFloPesq,04-21'!D232/42</f>
        <v>11612.857142857143</v>
      </c>
      <c r="E231" s="387">
        <f>+'C-SH-6A ConsCombFloPesq,04-21'!E232/42</f>
        <v>0</v>
      </c>
      <c r="F231" s="387">
        <f>+'C-SH-6A ConsCombFloPesq,04-21'!F232/42</f>
        <v>0</v>
      </c>
      <c r="G231" s="387">
        <f>+'C-SH-6A ConsCombFloPesq,04-21'!G232/42</f>
        <v>0</v>
      </c>
      <c r="H231" s="387">
        <f>+'C-SH-6A ConsCombFloPesq,04-21'!H232/42</f>
        <v>0</v>
      </c>
      <c r="I231" s="387">
        <f>+'C-SH-6A ConsCombFloPesq,04-21'!I232/42</f>
        <v>0</v>
      </c>
      <c r="J231" s="387">
        <f>+'C-SH-6A ConsCombFloPesq,04-21'!J233/42</f>
        <v>15453.380952380952</v>
      </c>
    </row>
    <row r="232" spans="2:10" x14ac:dyDescent="0.25">
      <c r="B232" s="577" t="s">
        <v>90</v>
      </c>
      <c r="C232" s="387">
        <f>+'C-SH-6A ConsCombFloPesq,04-21'!C233/42</f>
        <v>282.14285714285717</v>
      </c>
      <c r="D232" s="387">
        <f>+'C-SH-6A ConsCombFloPesq,04-21'!D233/42</f>
        <v>15119.404761904761</v>
      </c>
      <c r="E232" s="387">
        <f>+'C-SH-6A ConsCombFloPesq,04-21'!E233/42</f>
        <v>0</v>
      </c>
      <c r="F232" s="387">
        <f>+'C-SH-6A ConsCombFloPesq,04-21'!F233/42</f>
        <v>0</v>
      </c>
      <c r="G232" s="387">
        <f>+'C-SH-6A ConsCombFloPesq,04-21'!G233/42</f>
        <v>0</v>
      </c>
      <c r="H232" s="387">
        <f>+'C-SH-6A ConsCombFloPesq,04-21'!H233/42</f>
        <v>0</v>
      </c>
      <c r="I232" s="387">
        <f>+'C-SH-6A ConsCombFloPesq,04-21'!I233/42</f>
        <v>51.833333333333336</v>
      </c>
      <c r="J232" s="387">
        <f>+'C-SH-6A ConsCombFloPesq,04-21'!J234/42</f>
        <v>16377.5</v>
      </c>
    </row>
    <row r="233" spans="2:10" x14ac:dyDescent="0.25">
      <c r="B233" s="577" t="s">
        <v>91</v>
      </c>
      <c r="C233" s="387">
        <f>+'C-SH-6A ConsCombFloPesq,04-21'!C234/42</f>
        <v>115.47619047619048</v>
      </c>
      <c r="D233" s="387">
        <f>+'C-SH-6A ConsCombFloPesq,04-21'!D234/42</f>
        <v>16186.285714285714</v>
      </c>
      <c r="E233" s="387">
        <f>+'C-SH-6A ConsCombFloPesq,04-21'!E234/42</f>
        <v>0</v>
      </c>
      <c r="F233" s="387">
        <f>+'C-SH-6A ConsCombFloPesq,04-21'!F234/42</f>
        <v>0</v>
      </c>
      <c r="G233" s="387">
        <f>+'C-SH-6A ConsCombFloPesq,04-21'!G234/42</f>
        <v>0</v>
      </c>
      <c r="H233" s="387">
        <f>+'C-SH-6A ConsCombFloPesq,04-21'!H234/42</f>
        <v>0</v>
      </c>
      <c r="I233" s="387">
        <f>+'C-SH-6A ConsCombFloPesq,04-21'!I234/42</f>
        <v>75.738095238095241</v>
      </c>
      <c r="J233" s="387">
        <f>+'C-SH-6A ConsCombFloPesq,04-21'!J235/42</f>
        <v>43709.214285714283</v>
      </c>
    </row>
    <row r="234" spans="2:10" ht="15.6" x14ac:dyDescent="0.25">
      <c r="B234" s="570" t="s">
        <v>139</v>
      </c>
      <c r="C234" s="380">
        <f t="shared" ref="C234:I234" si="37">SUM(C231:C233)</f>
        <v>663.09523809523819</v>
      </c>
      <c r="D234" s="380">
        <f t="shared" si="37"/>
        <v>42918.547619047618</v>
      </c>
      <c r="E234" s="380">
        <f t="shared" si="37"/>
        <v>0</v>
      </c>
      <c r="F234" s="380">
        <f t="shared" si="37"/>
        <v>0</v>
      </c>
      <c r="G234" s="380">
        <f t="shared" si="37"/>
        <v>0</v>
      </c>
      <c r="H234" s="380">
        <f t="shared" si="37"/>
        <v>0</v>
      </c>
      <c r="I234" s="666">
        <f t="shared" si="37"/>
        <v>127.57142857142858</v>
      </c>
      <c r="J234" s="380">
        <f>+C234+D234+E234+F234+G234+H234+I234</f>
        <v>43709.214285714283</v>
      </c>
    </row>
    <row r="235" spans="2:10" x14ac:dyDescent="0.25">
      <c r="B235" s="577"/>
      <c r="C235" s="387"/>
      <c r="D235" s="387"/>
      <c r="E235" s="387"/>
      <c r="F235" s="387"/>
      <c r="G235" s="387"/>
      <c r="H235" s="664"/>
      <c r="I235" s="388"/>
      <c r="J235" s="387"/>
    </row>
    <row r="236" spans="2:10" x14ac:dyDescent="0.25">
      <c r="B236" s="577" t="s">
        <v>93</v>
      </c>
      <c r="C236" s="387">
        <f>+'C-SH-6A ConsCombFloPesq,04-21'!C237/42</f>
        <v>192.85714285714286</v>
      </c>
      <c r="D236" s="387">
        <f>+'C-SH-6A ConsCombFloPesq,04-21'!D237/42</f>
        <v>12856.595238095239</v>
      </c>
      <c r="E236" s="387">
        <f>+'C-SH-6A ConsCombFloPesq,04-21'!E237/42</f>
        <v>0</v>
      </c>
      <c r="F236" s="387">
        <f>+'C-SH-6A ConsCombFloPesq,04-21'!F237/42</f>
        <v>0</v>
      </c>
      <c r="G236" s="387">
        <f>+'C-SH-6A ConsCombFloPesq,04-21'!G237/42</f>
        <v>0</v>
      </c>
      <c r="H236" s="387">
        <f>+'C-SH-6A ConsCombFloPesq,04-21'!H237/42</f>
        <v>0</v>
      </c>
      <c r="I236" s="387">
        <f>+'C-SH-6A ConsCombFloPesq,04-21'!I237/42</f>
        <v>39</v>
      </c>
      <c r="J236" s="387">
        <f>+'C-SH-6A ConsCombFloPesq,04-21'!J238/42</f>
        <v>12039.357142857143</v>
      </c>
    </row>
    <row r="237" spans="2:10" x14ac:dyDescent="0.25">
      <c r="B237" s="577" t="s">
        <v>94</v>
      </c>
      <c r="C237" s="387">
        <f>+'C-SH-6A ConsCombFloPesq,04-21'!C238/42</f>
        <v>226.1904761904762</v>
      </c>
      <c r="D237" s="387">
        <f>+'C-SH-6A ConsCombFloPesq,04-21'!D238/42</f>
        <v>11678.452380952382</v>
      </c>
      <c r="E237" s="387">
        <f>+'C-SH-6A ConsCombFloPesq,04-21'!E238/42</f>
        <v>0</v>
      </c>
      <c r="F237" s="387">
        <f>+'C-SH-6A ConsCombFloPesq,04-21'!F238/42</f>
        <v>0</v>
      </c>
      <c r="G237" s="387">
        <f>+'C-SH-6A ConsCombFloPesq,04-21'!G238/42</f>
        <v>0</v>
      </c>
      <c r="H237" s="387">
        <f>+'C-SH-6A ConsCombFloPesq,04-21'!H238/42</f>
        <v>107.14285714285714</v>
      </c>
      <c r="I237" s="387">
        <f>+'C-SH-6A ConsCombFloPesq,04-21'!I238/42</f>
        <v>27.571428571428573</v>
      </c>
      <c r="J237" s="387">
        <f>+'C-SH-6A ConsCombFloPesq,04-21'!J239/42</f>
        <v>9038.8809523809523</v>
      </c>
    </row>
    <row r="238" spans="2:10" x14ac:dyDescent="0.25">
      <c r="B238" s="577" t="s">
        <v>101</v>
      </c>
      <c r="C238" s="387">
        <f>+'C-SH-6A ConsCombFloPesq,04-21'!C239/42</f>
        <v>88.095238095238102</v>
      </c>
      <c r="D238" s="387">
        <f>+'C-SH-6A ConsCombFloPesq,04-21'!D239/42</f>
        <v>8950.7857142857138</v>
      </c>
      <c r="E238" s="387">
        <f>+'C-SH-6A ConsCombFloPesq,04-21'!E239/42</f>
        <v>0</v>
      </c>
      <c r="F238" s="387">
        <f>+'C-SH-6A ConsCombFloPesq,04-21'!F239/42</f>
        <v>0</v>
      </c>
      <c r="G238" s="387">
        <f>+'C-SH-6A ConsCombFloPesq,04-21'!G239/42</f>
        <v>0</v>
      </c>
      <c r="H238" s="387">
        <f>+'C-SH-6A ConsCombFloPesq,04-21'!H239/42</f>
        <v>0</v>
      </c>
      <c r="I238" s="387">
        <f>+'C-SH-6A ConsCombFloPesq,04-21'!I239/42</f>
        <v>0</v>
      </c>
      <c r="J238" s="387">
        <f>+'C-SH-6A ConsCombFloPesq,04-21'!J240/42</f>
        <v>34166.690476190473</v>
      </c>
    </row>
    <row r="239" spans="2:10" ht="15.6" x14ac:dyDescent="0.25">
      <c r="B239" s="570" t="s">
        <v>140</v>
      </c>
      <c r="C239" s="380">
        <f t="shared" ref="C239:I239" si="38">SUM(C236:C238)</f>
        <v>507.14285714285711</v>
      </c>
      <c r="D239" s="380">
        <f t="shared" si="38"/>
        <v>33485.833333333328</v>
      </c>
      <c r="E239" s="380">
        <f t="shared" si="38"/>
        <v>0</v>
      </c>
      <c r="F239" s="380">
        <f t="shared" si="38"/>
        <v>0</v>
      </c>
      <c r="G239" s="380">
        <f t="shared" si="38"/>
        <v>0</v>
      </c>
      <c r="H239" s="380">
        <f t="shared" si="38"/>
        <v>107.14285714285714</v>
      </c>
      <c r="I239" s="666">
        <f t="shared" si="38"/>
        <v>66.571428571428569</v>
      </c>
      <c r="J239" s="380">
        <f>+C239+D239+E239+F239+G239+H239+I239</f>
        <v>34166.690476190466</v>
      </c>
    </row>
    <row r="240" spans="2:10" x14ac:dyDescent="0.25">
      <c r="B240" s="577"/>
      <c r="C240" s="387"/>
      <c r="D240" s="387"/>
      <c r="E240" s="387"/>
      <c r="F240" s="387"/>
      <c r="G240" s="387"/>
      <c r="H240" s="664"/>
      <c r="I240" s="388"/>
      <c r="J240" s="387"/>
    </row>
    <row r="241" spans="2:10" x14ac:dyDescent="0.25">
      <c r="B241" s="577" t="s">
        <v>95</v>
      </c>
      <c r="C241" s="387">
        <f>+'C-SH-6A ConsCombFloPesq,04-21'!C242/42</f>
        <v>130.95238095238096</v>
      </c>
      <c r="D241" s="387">
        <f>+'C-SH-6A ConsCombFloPesq,04-21'!D242/42</f>
        <v>15933.452380952382</v>
      </c>
      <c r="E241" s="387">
        <f>+'C-SH-6A ConsCombFloPesq,04-21'!E242/42</f>
        <v>0</v>
      </c>
      <c r="F241" s="387">
        <f>+'C-SH-6A ConsCombFloPesq,04-21'!F242/42</f>
        <v>0</v>
      </c>
      <c r="G241" s="387">
        <f>+'C-SH-6A ConsCombFloPesq,04-21'!G242/42</f>
        <v>0</v>
      </c>
      <c r="H241" s="387">
        <f>+'C-SH-6A ConsCombFloPesq,04-21'!H242/42</f>
        <v>0</v>
      </c>
      <c r="I241" s="387">
        <f>+'C-SH-6A ConsCombFloPesq,04-21'!I242/42</f>
        <v>0</v>
      </c>
      <c r="J241" s="387">
        <f>+'C-SH-6A ConsCombFloPesq,04-21'!J243/42</f>
        <v>11019.928571428571</v>
      </c>
    </row>
    <row r="242" spans="2:10" x14ac:dyDescent="0.25">
      <c r="B242" s="577" t="s">
        <v>96</v>
      </c>
      <c r="C242" s="387">
        <f>+'C-SH-6A ConsCombFloPesq,04-21'!C243/42</f>
        <v>161.9047619047619</v>
      </c>
      <c r="D242" s="387">
        <f>+'C-SH-6A ConsCombFloPesq,04-21'!D243/42</f>
        <v>10858.023809523809</v>
      </c>
      <c r="E242" s="387">
        <f>+'C-SH-6A ConsCombFloPesq,04-21'!E243/42</f>
        <v>0</v>
      </c>
      <c r="F242" s="387">
        <f>+'C-SH-6A ConsCombFloPesq,04-21'!F243/42</f>
        <v>0</v>
      </c>
      <c r="G242" s="387">
        <f>+'C-SH-6A ConsCombFloPesq,04-21'!G243/42</f>
        <v>0</v>
      </c>
      <c r="H242" s="387">
        <f>+'C-SH-6A ConsCombFloPesq,04-21'!H243/42</f>
        <v>0</v>
      </c>
      <c r="I242" s="387">
        <f>+'C-SH-6A ConsCombFloPesq,04-21'!I243/42</f>
        <v>0</v>
      </c>
      <c r="J242" s="387">
        <f>+'C-SH-6A ConsCombFloPesq,04-21'!J244/42</f>
        <v>12696.666666666666</v>
      </c>
    </row>
    <row r="243" spans="2:10" x14ac:dyDescent="0.25">
      <c r="B243" s="577" t="s">
        <v>97</v>
      </c>
      <c r="C243" s="387">
        <f>+'C-SH-6A ConsCombFloPesq,04-21'!C244/42</f>
        <v>221.42857142857142</v>
      </c>
      <c r="D243" s="387">
        <f>+'C-SH-6A ConsCombFloPesq,04-21'!D244/42</f>
        <v>12475.238095238095</v>
      </c>
      <c r="E243" s="387">
        <f>+'C-SH-6A ConsCombFloPesq,04-21'!E244/42</f>
        <v>0</v>
      </c>
      <c r="F243" s="387">
        <f>+'C-SH-6A ConsCombFloPesq,04-21'!F244/42</f>
        <v>0</v>
      </c>
      <c r="G243" s="387">
        <f>+'C-SH-6A ConsCombFloPesq,04-21'!G244/42</f>
        <v>0</v>
      </c>
      <c r="H243" s="387">
        <f>+'C-SH-6A ConsCombFloPesq,04-21'!H244/42</f>
        <v>0</v>
      </c>
      <c r="I243" s="387">
        <f>+'C-SH-6A ConsCombFloPesq,04-21'!I244/42</f>
        <v>0</v>
      </c>
      <c r="J243" s="387">
        <f>+'C-SH-6A ConsCombFloPesq,04-21'!J245/42</f>
        <v>39781</v>
      </c>
    </row>
    <row r="244" spans="2:10" ht="15.6" x14ac:dyDescent="0.25">
      <c r="B244" s="570" t="s">
        <v>141</v>
      </c>
      <c r="C244" s="380">
        <f t="shared" ref="C244:I244" si="39">SUM(C241:C243)</f>
        <v>514.28571428571433</v>
      </c>
      <c r="D244" s="380">
        <f t="shared" si="39"/>
        <v>39266.71428571429</v>
      </c>
      <c r="E244" s="380">
        <f t="shared" si="39"/>
        <v>0</v>
      </c>
      <c r="F244" s="380">
        <f t="shared" si="39"/>
        <v>0</v>
      </c>
      <c r="G244" s="380">
        <f t="shared" si="39"/>
        <v>0</v>
      </c>
      <c r="H244" s="380">
        <f t="shared" si="39"/>
        <v>0</v>
      </c>
      <c r="I244" s="666">
        <f t="shared" si="39"/>
        <v>0</v>
      </c>
      <c r="J244" s="380">
        <f>+C244+D244+E244+F244+G244+H244+I244</f>
        <v>39781.000000000007</v>
      </c>
    </row>
    <row r="245" spans="2:10" ht="15.6" thickBot="1" x14ac:dyDescent="0.3">
      <c r="B245" s="593"/>
      <c r="C245" s="381"/>
      <c r="D245" s="381"/>
      <c r="E245" s="381"/>
      <c r="F245" s="381"/>
      <c r="G245" s="381"/>
      <c r="H245" s="665"/>
      <c r="I245" s="389"/>
      <c r="J245" s="381"/>
    </row>
    <row r="246" spans="2:10" x14ac:dyDescent="0.25">
      <c r="B246" s="14" t="s">
        <v>219</v>
      </c>
    </row>
    <row r="248" spans="2:10" ht="15.6" x14ac:dyDescent="0.25">
      <c r="B248" s="864" t="s">
        <v>191</v>
      </c>
      <c r="C248" s="864"/>
      <c r="D248" s="864"/>
      <c r="E248" s="864"/>
      <c r="F248" s="864"/>
      <c r="G248" s="864"/>
      <c r="H248" s="864"/>
      <c r="I248" s="864"/>
      <c r="J248" s="864"/>
    </row>
    <row r="249" spans="2:10" ht="15.6" x14ac:dyDescent="0.25">
      <c r="B249" s="864" t="s">
        <v>137</v>
      </c>
      <c r="C249" s="864"/>
      <c r="D249" s="864"/>
      <c r="E249" s="864"/>
      <c r="F249" s="864"/>
      <c r="G249" s="864"/>
      <c r="H249" s="864"/>
      <c r="I249" s="864"/>
      <c r="J249" s="864"/>
    </row>
    <row r="250" spans="2:10" ht="15.6" x14ac:dyDescent="0.25">
      <c r="B250" s="864">
        <v>2013</v>
      </c>
      <c r="C250" s="864"/>
      <c r="D250" s="864"/>
      <c r="E250" s="864"/>
      <c r="F250" s="864"/>
      <c r="G250" s="864"/>
      <c r="H250" s="864"/>
      <c r="I250" s="864"/>
      <c r="J250" s="864"/>
    </row>
    <row r="251" spans="2:10" ht="16.2" thickBot="1" x14ac:dyDescent="0.3">
      <c r="B251" s="929" t="s">
        <v>27</v>
      </c>
      <c r="C251" s="929"/>
      <c r="D251" s="929"/>
      <c r="E251" s="929"/>
      <c r="F251" s="929"/>
      <c r="G251" s="929"/>
      <c r="H251" s="929"/>
      <c r="I251" s="929"/>
      <c r="J251" s="929"/>
    </row>
    <row r="252" spans="2:10" ht="16.2" thickBot="1" x14ac:dyDescent="0.3">
      <c r="B252" s="594" t="s">
        <v>100</v>
      </c>
      <c r="C252" s="595" t="s">
        <v>52</v>
      </c>
      <c r="D252" s="595" t="s">
        <v>123</v>
      </c>
      <c r="E252" s="595" t="s">
        <v>181</v>
      </c>
      <c r="F252" s="595" t="s">
        <v>131</v>
      </c>
      <c r="G252" s="595" t="s">
        <v>232</v>
      </c>
      <c r="H252" s="595" t="s">
        <v>233</v>
      </c>
      <c r="I252" s="594" t="s">
        <v>84</v>
      </c>
      <c r="J252" s="595" t="s">
        <v>78</v>
      </c>
    </row>
    <row r="253" spans="2:10" x14ac:dyDescent="0.25">
      <c r="B253" s="574"/>
      <c r="C253" s="377"/>
      <c r="D253" s="377"/>
      <c r="E253" s="378"/>
      <c r="F253" s="378"/>
      <c r="G253" s="378"/>
      <c r="H253" s="659"/>
      <c r="I253" s="379"/>
      <c r="J253" s="378"/>
    </row>
    <row r="254" spans="2:10" ht="15.6" x14ac:dyDescent="0.25">
      <c r="B254" s="570" t="s">
        <v>103</v>
      </c>
      <c r="C254" s="380">
        <f t="shared" ref="C254:H254" si="40">+C260+C265+C270+C275</f>
        <v>2273.8095238095239</v>
      </c>
      <c r="D254" s="380">
        <f t="shared" si="40"/>
        <v>111486.57142857142</v>
      </c>
      <c r="E254" s="380">
        <f t="shared" si="40"/>
        <v>0</v>
      </c>
      <c r="F254" s="380">
        <f t="shared" si="40"/>
        <v>0</v>
      </c>
      <c r="G254" s="380">
        <f t="shared" si="40"/>
        <v>83.333333333333329</v>
      </c>
      <c r="H254" s="660">
        <f t="shared" si="40"/>
        <v>154.76190476190476</v>
      </c>
      <c r="I254" s="666">
        <f>+I260+I265+I270+I275</f>
        <v>534.47619047619048</v>
      </c>
      <c r="J254" s="380">
        <f>+J260+J265+J270+J275</f>
        <v>114532.9523809524</v>
      </c>
    </row>
    <row r="255" spans="2:10" ht="15.6" thickBot="1" x14ac:dyDescent="0.3">
      <c r="B255" s="593"/>
      <c r="C255" s="381"/>
      <c r="D255" s="381"/>
      <c r="E255" s="382"/>
      <c r="F255" s="382"/>
      <c r="G255" s="382"/>
      <c r="H255" s="661"/>
      <c r="I255" s="383"/>
      <c r="J255" s="382"/>
    </row>
    <row r="256" spans="2:10" x14ac:dyDescent="0.25">
      <c r="B256" s="579"/>
      <c r="C256" s="384"/>
      <c r="D256" s="384"/>
      <c r="E256" s="385"/>
      <c r="F256" s="385"/>
      <c r="G256" s="385"/>
      <c r="H256" s="662"/>
      <c r="I256" s="386"/>
      <c r="J256" s="385"/>
    </row>
    <row r="257" spans="2:10" x14ac:dyDescent="0.25">
      <c r="B257" s="577" t="s">
        <v>86</v>
      </c>
      <c r="C257" s="387">
        <f>+'C-SH-6A ConsCombFloPesq,04-21'!C258/42</f>
        <v>302.38095238095241</v>
      </c>
      <c r="D257" s="387">
        <f>+'C-SH-6A ConsCombFloPesq,04-21'!D258/42</f>
        <v>7987.666666666667</v>
      </c>
      <c r="E257" s="387">
        <f>+'C-SH-6A ConsCombFloPesq,04-21'!E258/42</f>
        <v>0</v>
      </c>
      <c r="F257" s="387">
        <f>+'C-SH-6A ConsCombFloPesq,04-21'!F258/42</f>
        <v>0</v>
      </c>
      <c r="G257" s="387">
        <f>+'C-SH-6A ConsCombFloPesq,04-21'!G258/42</f>
        <v>83.333333333333329</v>
      </c>
      <c r="H257" s="387">
        <f>+'C-SH-6A ConsCombFloPesq,04-21'!H258/42</f>
        <v>0</v>
      </c>
      <c r="I257" s="387">
        <f>+'C-SH-6A ConsCombFloPesq,04-21'!I258/42</f>
        <v>3.2142857142857144</v>
      </c>
      <c r="J257" s="387">
        <f>+'C-SH-6A ConsCombFloPesq,04-21'!J259/42</f>
        <v>6440.6428571428569</v>
      </c>
    </row>
    <row r="258" spans="2:10" x14ac:dyDescent="0.25">
      <c r="B258" s="577" t="s">
        <v>87</v>
      </c>
      <c r="C258" s="387">
        <f>+'C-SH-6A ConsCombFloPesq,04-21'!C259/42</f>
        <v>126.19047619047619</v>
      </c>
      <c r="D258" s="387">
        <f>+'C-SH-6A ConsCombFloPesq,04-21'!D259/42</f>
        <v>6251.3571428571431</v>
      </c>
      <c r="E258" s="387">
        <f>+'C-SH-6A ConsCombFloPesq,04-21'!E259/42</f>
        <v>0</v>
      </c>
      <c r="F258" s="387">
        <f>+'C-SH-6A ConsCombFloPesq,04-21'!F259/42</f>
        <v>0</v>
      </c>
      <c r="G258" s="387">
        <f>+'C-SH-6A ConsCombFloPesq,04-21'!G259/42</f>
        <v>0</v>
      </c>
      <c r="H258" s="387">
        <f>+'C-SH-6A ConsCombFloPesq,04-21'!H259/42</f>
        <v>0</v>
      </c>
      <c r="I258" s="387">
        <f>+'C-SH-6A ConsCombFloPesq,04-21'!I259/42</f>
        <v>63.095238095238095</v>
      </c>
      <c r="J258" s="387">
        <f>+'C-SH-6A ConsCombFloPesq,04-21'!J260/42</f>
        <v>6325.6190476190477</v>
      </c>
    </row>
    <row r="259" spans="2:10" x14ac:dyDescent="0.25">
      <c r="B259" s="577" t="s">
        <v>88</v>
      </c>
      <c r="C259" s="387">
        <f>+'C-SH-6A ConsCombFloPesq,04-21'!C260/42</f>
        <v>235.71428571428572</v>
      </c>
      <c r="D259" s="387">
        <f>+'C-SH-6A ConsCombFloPesq,04-21'!D260/42</f>
        <v>5982.3809523809523</v>
      </c>
      <c r="E259" s="387">
        <f>+'C-SH-6A ConsCombFloPesq,04-21'!E260/42</f>
        <v>0</v>
      </c>
      <c r="F259" s="387">
        <f>+'C-SH-6A ConsCombFloPesq,04-21'!F260/42</f>
        <v>0</v>
      </c>
      <c r="G259" s="387">
        <f>+'C-SH-6A ConsCombFloPesq,04-21'!G260/42</f>
        <v>0</v>
      </c>
      <c r="H259" s="387">
        <f>+'C-SH-6A ConsCombFloPesq,04-21'!H260/42</f>
        <v>0</v>
      </c>
      <c r="I259" s="387">
        <f>+'C-SH-6A ConsCombFloPesq,04-21'!I260/42</f>
        <v>107.52380952380952</v>
      </c>
      <c r="J259" s="387">
        <f>+'C-SH-6A ConsCombFloPesq,04-21'!J261/42</f>
        <v>21142.857142857141</v>
      </c>
    </row>
    <row r="260" spans="2:10" ht="15.6" x14ac:dyDescent="0.25">
      <c r="B260" s="570" t="s">
        <v>138</v>
      </c>
      <c r="C260" s="380">
        <f t="shared" ref="C260:I260" si="41">SUM(C257:C259)</f>
        <v>664.28571428571433</v>
      </c>
      <c r="D260" s="380">
        <f t="shared" si="41"/>
        <v>20221.404761904763</v>
      </c>
      <c r="E260" s="380">
        <f t="shared" si="41"/>
        <v>0</v>
      </c>
      <c r="F260" s="380">
        <f t="shared" si="41"/>
        <v>0</v>
      </c>
      <c r="G260" s="380">
        <f t="shared" si="41"/>
        <v>83.333333333333329</v>
      </c>
      <c r="H260" s="380">
        <f t="shared" si="41"/>
        <v>0</v>
      </c>
      <c r="I260" s="666">
        <f t="shared" si="41"/>
        <v>173.83333333333331</v>
      </c>
      <c r="J260" s="380">
        <f>+C260+D260+E260+F260+G260+H260+I260</f>
        <v>21142.857142857141</v>
      </c>
    </row>
    <row r="261" spans="2:10" x14ac:dyDescent="0.25">
      <c r="B261" s="577"/>
      <c r="C261" s="387"/>
      <c r="D261" s="387"/>
      <c r="E261" s="387"/>
      <c r="F261" s="387"/>
      <c r="G261" s="387"/>
      <c r="H261" s="664"/>
      <c r="I261" s="388"/>
      <c r="J261" s="387"/>
    </row>
    <row r="262" spans="2:10" x14ac:dyDescent="0.25">
      <c r="B262" s="577" t="s">
        <v>89</v>
      </c>
      <c r="C262" s="387">
        <f>+'C-SH-6A ConsCombFloPesq,04-21'!C263/42</f>
        <v>240.47619047619048</v>
      </c>
      <c r="D262" s="387">
        <f>+'C-SH-6A ConsCombFloPesq,04-21'!D263/42</f>
        <v>10910.785714285714</v>
      </c>
      <c r="E262" s="387">
        <f>+'C-SH-6A ConsCombFloPesq,04-21'!E263/42</f>
        <v>0</v>
      </c>
      <c r="F262" s="387">
        <f>+'C-SH-6A ConsCombFloPesq,04-21'!F263/42</f>
        <v>0</v>
      </c>
      <c r="G262" s="387">
        <f>+'C-SH-6A ConsCombFloPesq,04-21'!G263/42</f>
        <v>0</v>
      </c>
      <c r="H262" s="387">
        <f>+'C-SH-6A ConsCombFloPesq,04-21'!H263/42</f>
        <v>154.76190476190476</v>
      </c>
      <c r="I262" s="387">
        <f>+'C-SH-6A ConsCombFloPesq,04-21'!I263/42</f>
        <v>31.609523809523807</v>
      </c>
      <c r="J262" s="387">
        <f>+'C-SH-6A ConsCombFloPesq,04-21'!J264/42</f>
        <v>12072.938095238096</v>
      </c>
    </row>
    <row r="263" spans="2:10" x14ac:dyDescent="0.25">
      <c r="B263" s="577" t="s">
        <v>90</v>
      </c>
      <c r="C263" s="387">
        <f>+'C-SH-6A ConsCombFloPesq,04-21'!C264/42</f>
        <v>180.95238095238096</v>
      </c>
      <c r="D263" s="387">
        <f>+'C-SH-6A ConsCombFloPesq,04-21'!D264/42</f>
        <v>11817.809523809523</v>
      </c>
      <c r="E263" s="387">
        <f>+'C-SH-6A ConsCombFloPesq,04-21'!E264/42</f>
        <v>0</v>
      </c>
      <c r="F263" s="387">
        <f>+'C-SH-6A ConsCombFloPesq,04-21'!F264/42</f>
        <v>0</v>
      </c>
      <c r="G263" s="387">
        <f>+'C-SH-6A ConsCombFloPesq,04-21'!G264/42</f>
        <v>0</v>
      </c>
      <c r="H263" s="387">
        <f>+'C-SH-6A ConsCombFloPesq,04-21'!H264/42</f>
        <v>0</v>
      </c>
      <c r="I263" s="387">
        <f>+'C-SH-6A ConsCombFloPesq,04-21'!I264/42</f>
        <v>74.176190476190484</v>
      </c>
      <c r="J263" s="387">
        <f>+'C-SH-6A ConsCombFloPesq,04-21'!J265/42</f>
        <v>9007.8571428571431</v>
      </c>
    </row>
    <row r="264" spans="2:10" x14ac:dyDescent="0.25">
      <c r="B264" s="577" t="s">
        <v>91</v>
      </c>
      <c r="C264" s="387">
        <f>+'C-SH-6A ConsCombFloPesq,04-21'!C265/42</f>
        <v>123.80952380952381</v>
      </c>
      <c r="D264" s="387">
        <f>+'C-SH-6A ConsCombFloPesq,04-21'!D265/42</f>
        <v>8836.1904761904771</v>
      </c>
      <c r="E264" s="387">
        <f>+'C-SH-6A ConsCombFloPesq,04-21'!E265/42</f>
        <v>0</v>
      </c>
      <c r="F264" s="387">
        <f>+'C-SH-6A ConsCombFloPesq,04-21'!F265/42</f>
        <v>0</v>
      </c>
      <c r="G264" s="387">
        <f>+'C-SH-6A ConsCombFloPesq,04-21'!G265/42</f>
        <v>0</v>
      </c>
      <c r="H264" s="387">
        <f>+'C-SH-6A ConsCombFloPesq,04-21'!H265/42</f>
        <v>0</v>
      </c>
      <c r="I264" s="387">
        <f>+'C-SH-6A ConsCombFloPesq,04-21'!I265/42</f>
        <v>47.857142857142854</v>
      </c>
      <c r="J264" s="387">
        <f>+'C-SH-6A ConsCombFloPesq,04-21'!J266/42</f>
        <v>32418.428571428572</v>
      </c>
    </row>
    <row r="265" spans="2:10" ht="15.6" x14ac:dyDescent="0.25">
      <c r="B265" s="570" t="s">
        <v>139</v>
      </c>
      <c r="C265" s="380">
        <f t="shared" ref="C265:I265" si="42">SUM(C262:C264)</f>
        <v>545.2380952380953</v>
      </c>
      <c r="D265" s="380">
        <f t="shared" si="42"/>
        <v>31564.785714285714</v>
      </c>
      <c r="E265" s="380">
        <f t="shared" si="42"/>
        <v>0</v>
      </c>
      <c r="F265" s="380">
        <f t="shared" si="42"/>
        <v>0</v>
      </c>
      <c r="G265" s="380">
        <f t="shared" si="42"/>
        <v>0</v>
      </c>
      <c r="H265" s="380">
        <f t="shared" si="42"/>
        <v>154.76190476190476</v>
      </c>
      <c r="I265" s="666">
        <f t="shared" si="42"/>
        <v>153.64285714285714</v>
      </c>
      <c r="J265" s="380">
        <f>+C265+D265+E265+F265+G265+H265+I265</f>
        <v>32418.428571428572</v>
      </c>
    </row>
    <row r="266" spans="2:10" x14ac:dyDescent="0.25">
      <c r="B266" s="577"/>
      <c r="C266" s="387"/>
      <c r="D266" s="387"/>
      <c r="E266" s="387"/>
      <c r="F266" s="387"/>
      <c r="G266" s="387"/>
      <c r="H266" s="664"/>
      <c r="I266" s="388"/>
      <c r="J266" s="387"/>
    </row>
    <row r="267" spans="2:10" x14ac:dyDescent="0.25">
      <c r="B267" s="577" t="s">
        <v>93</v>
      </c>
      <c r="C267" s="387">
        <f>+'C-SH-6A ConsCombFloPesq,04-21'!C268/42</f>
        <v>283.33333333333331</v>
      </c>
      <c r="D267" s="387">
        <f>+'C-SH-6A ConsCombFloPesq,04-21'!D268/42</f>
        <v>16186.357142857143</v>
      </c>
      <c r="E267" s="387">
        <f>+'C-SH-6A ConsCombFloPesq,04-21'!E268/42</f>
        <v>0</v>
      </c>
      <c r="F267" s="387">
        <f>+'C-SH-6A ConsCombFloPesq,04-21'!F268/42</f>
        <v>0</v>
      </c>
      <c r="G267" s="387">
        <f>+'C-SH-6A ConsCombFloPesq,04-21'!G268/42</f>
        <v>0</v>
      </c>
      <c r="H267" s="387">
        <f>+'C-SH-6A ConsCombFloPesq,04-21'!H268/42</f>
        <v>0</v>
      </c>
      <c r="I267" s="387">
        <f>+'C-SH-6A ConsCombFloPesq,04-21'!I268/42</f>
        <v>39.438095238095244</v>
      </c>
      <c r="J267" s="387">
        <f>+'C-SH-6A ConsCombFloPesq,04-21'!J269/42</f>
        <v>9049.0714285714294</v>
      </c>
    </row>
    <row r="268" spans="2:10" x14ac:dyDescent="0.25">
      <c r="B268" s="577" t="s">
        <v>94</v>
      </c>
      <c r="C268" s="387">
        <f>+'C-SH-6A ConsCombFloPesq,04-21'!C269/42</f>
        <v>107.14285714285714</v>
      </c>
      <c r="D268" s="387">
        <f>+'C-SH-6A ConsCombFloPesq,04-21'!D269/42</f>
        <v>8906.4523809523816</v>
      </c>
      <c r="E268" s="387">
        <f>+'C-SH-6A ConsCombFloPesq,04-21'!E269/42</f>
        <v>0</v>
      </c>
      <c r="F268" s="387">
        <f>+'C-SH-6A ConsCombFloPesq,04-21'!F269/42</f>
        <v>0</v>
      </c>
      <c r="G268" s="387">
        <f>+'C-SH-6A ConsCombFloPesq,04-21'!G269/42</f>
        <v>0</v>
      </c>
      <c r="H268" s="387">
        <f>+'C-SH-6A ConsCombFloPesq,04-21'!H269/42</f>
        <v>0</v>
      </c>
      <c r="I268" s="387">
        <f>+'C-SH-6A ConsCombFloPesq,04-21'!I269/42</f>
        <v>35.476190476190474</v>
      </c>
      <c r="J268" s="387">
        <f>+'C-SH-6A ConsCombFloPesq,04-21'!J270/42</f>
        <v>2265.3714285714286</v>
      </c>
    </row>
    <row r="269" spans="2:10" x14ac:dyDescent="0.25">
      <c r="B269" s="577" t="s">
        <v>101</v>
      </c>
      <c r="C269" s="387">
        <f>+'C-SH-6A ConsCombFloPesq,04-21'!C270/42</f>
        <v>59.523809523809526</v>
      </c>
      <c r="D269" s="387">
        <f>+'C-SH-6A ConsCombFloPesq,04-21'!D270/42</f>
        <v>2174.1428571428573</v>
      </c>
      <c r="E269" s="387">
        <f>+'C-SH-6A ConsCombFloPesq,04-21'!E270/42</f>
        <v>0</v>
      </c>
      <c r="F269" s="387">
        <f>+'C-SH-6A ConsCombFloPesq,04-21'!F270/42</f>
        <v>0</v>
      </c>
      <c r="G269" s="387">
        <f>+'C-SH-6A ConsCombFloPesq,04-21'!G270/42</f>
        <v>0</v>
      </c>
      <c r="H269" s="387">
        <f>+'C-SH-6A ConsCombFloPesq,04-21'!H270/42</f>
        <v>0</v>
      </c>
      <c r="I269" s="387">
        <f>+'C-SH-6A ConsCombFloPesq,04-21'!I270/42</f>
        <v>31.704761904761902</v>
      </c>
      <c r="J269" s="387">
        <f>+'C-SH-6A ConsCombFloPesq,04-21'!J271/42</f>
        <v>27823.571428571428</v>
      </c>
    </row>
    <row r="270" spans="2:10" ht="15.6" x14ac:dyDescent="0.25">
      <c r="B270" s="570" t="s">
        <v>140</v>
      </c>
      <c r="C270" s="380">
        <f t="shared" ref="C270:I270" si="43">SUM(C267:C269)</f>
        <v>450</v>
      </c>
      <c r="D270" s="380">
        <f t="shared" si="43"/>
        <v>27266.952380952385</v>
      </c>
      <c r="E270" s="380">
        <f t="shared" si="43"/>
        <v>0</v>
      </c>
      <c r="F270" s="380">
        <f t="shared" si="43"/>
        <v>0</v>
      </c>
      <c r="G270" s="380">
        <f t="shared" si="43"/>
        <v>0</v>
      </c>
      <c r="H270" s="380">
        <f t="shared" si="43"/>
        <v>0</v>
      </c>
      <c r="I270" s="666">
        <f t="shared" si="43"/>
        <v>106.61904761904762</v>
      </c>
      <c r="J270" s="380">
        <f>+C270+D270+E270+F270+G270+H270+I270</f>
        <v>27823.571428571431</v>
      </c>
    </row>
    <row r="271" spans="2:10" x14ac:dyDescent="0.25">
      <c r="B271" s="577"/>
      <c r="C271" s="387"/>
      <c r="D271" s="387"/>
      <c r="E271" s="387"/>
      <c r="F271" s="387"/>
      <c r="G271" s="387"/>
      <c r="H271" s="664"/>
      <c r="I271" s="388"/>
      <c r="J271" s="387"/>
    </row>
    <row r="272" spans="2:10" x14ac:dyDescent="0.25">
      <c r="B272" s="577" t="s">
        <v>95</v>
      </c>
      <c r="C272" s="387">
        <f>+'C-SH-6A ConsCombFloPesq,04-21'!C273/42</f>
        <v>295.23809523809524</v>
      </c>
      <c r="D272" s="387">
        <f>+'C-SH-6A ConsCombFloPesq,04-21'!D273/42</f>
        <v>17464.571428571428</v>
      </c>
      <c r="E272" s="387">
        <f>+'C-SH-6A ConsCombFloPesq,04-21'!E273/42</f>
        <v>0</v>
      </c>
      <c r="F272" s="387">
        <f>+'C-SH-6A ConsCombFloPesq,04-21'!F273/42</f>
        <v>0</v>
      </c>
      <c r="G272" s="387">
        <f>+'C-SH-6A ConsCombFloPesq,04-21'!G273/42</f>
        <v>0</v>
      </c>
      <c r="H272" s="387">
        <f>+'C-SH-6A ConsCombFloPesq,04-21'!H273/42</f>
        <v>0</v>
      </c>
      <c r="I272" s="387">
        <f>+'C-SH-6A ConsCombFloPesq,04-21'!I273/42</f>
        <v>42.504761904761907</v>
      </c>
      <c r="J272" s="387">
        <f>+'C-SH-6A ConsCombFloPesq,04-21'!J274/42</f>
        <v>8731.7142857142862</v>
      </c>
    </row>
    <row r="273" spans="2:10" x14ac:dyDescent="0.25">
      <c r="B273" s="577" t="s">
        <v>96</v>
      </c>
      <c r="C273" s="387">
        <f>+'C-SH-6A ConsCombFloPesq,04-21'!C274/42</f>
        <v>176.1904761904762</v>
      </c>
      <c r="D273" s="387">
        <f>+'C-SH-6A ConsCombFloPesq,04-21'!D274/42</f>
        <v>8520.7142857142862</v>
      </c>
      <c r="E273" s="387">
        <f>+'C-SH-6A ConsCombFloPesq,04-21'!E274/42</f>
        <v>0</v>
      </c>
      <c r="F273" s="387">
        <f>+'C-SH-6A ConsCombFloPesq,04-21'!F274/42</f>
        <v>0</v>
      </c>
      <c r="G273" s="387">
        <f>+'C-SH-6A ConsCombFloPesq,04-21'!G274/42</f>
        <v>0</v>
      </c>
      <c r="H273" s="387">
        <f>+'C-SH-6A ConsCombFloPesq,04-21'!H274/42</f>
        <v>0</v>
      </c>
      <c r="I273" s="387">
        <f>+'C-SH-6A ConsCombFloPesq,04-21'!I274/42</f>
        <v>34.80952380952381</v>
      </c>
      <c r="J273" s="387">
        <f>+'C-SH-6A ConsCombFloPesq,04-21'!J275/42</f>
        <v>6614.0666666666666</v>
      </c>
    </row>
    <row r="274" spans="2:10" x14ac:dyDescent="0.25">
      <c r="B274" s="577" t="s">
        <v>97</v>
      </c>
      <c r="C274" s="387">
        <f>+'C-SH-6A ConsCombFloPesq,04-21'!C275/42</f>
        <v>142.85714285714286</v>
      </c>
      <c r="D274" s="387">
        <f>+'C-SH-6A ConsCombFloPesq,04-21'!D275/42</f>
        <v>6448.1428571428569</v>
      </c>
      <c r="E274" s="387">
        <f>+'C-SH-6A ConsCombFloPesq,04-21'!E275/42</f>
        <v>0</v>
      </c>
      <c r="F274" s="387">
        <f>+'C-SH-6A ConsCombFloPesq,04-21'!F275/42</f>
        <v>0</v>
      </c>
      <c r="G274" s="387">
        <f>+'C-SH-6A ConsCombFloPesq,04-21'!G275/42</f>
        <v>0</v>
      </c>
      <c r="H274" s="387">
        <f>+'C-SH-6A ConsCombFloPesq,04-21'!H275/42</f>
        <v>0</v>
      </c>
      <c r="I274" s="387">
        <f>+'C-SH-6A ConsCombFloPesq,04-21'!I275/42</f>
        <v>23.066666666666666</v>
      </c>
      <c r="J274" s="387">
        <f>+'C-SH-6A ConsCombFloPesq,04-21'!J276/42</f>
        <v>33148.095238095237</v>
      </c>
    </row>
    <row r="275" spans="2:10" ht="15.6" x14ac:dyDescent="0.25">
      <c r="B275" s="570" t="s">
        <v>141</v>
      </c>
      <c r="C275" s="380">
        <f t="shared" ref="C275:I275" si="44">SUM(C272:C274)</f>
        <v>614.28571428571433</v>
      </c>
      <c r="D275" s="380">
        <f t="shared" si="44"/>
        <v>32433.428571428572</v>
      </c>
      <c r="E275" s="380">
        <f t="shared" si="44"/>
        <v>0</v>
      </c>
      <c r="F275" s="380">
        <f t="shared" si="44"/>
        <v>0</v>
      </c>
      <c r="G275" s="380">
        <f t="shared" si="44"/>
        <v>0</v>
      </c>
      <c r="H275" s="380">
        <f t="shared" si="44"/>
        <v>0</v>
      </c>
      <c r="I275" s="666">
        <f t="shared" si="44"/>
        <v>100.38095238095238</v>
      </c>
      <c r="J275" s="380">
        <f>+C275+D275+E275+F275+G275+H275+I275</f>
        <v>33148.095238095244</v>
      </c>
    </row>
    <row r="276" spans="2:10" ht="15.6" thickBot="1" x14ac:dyDescent="0.3">
      <c r="B276" s="593"/>
      <c r="C276" s="381"/>
      <c r="D276" s="381"/>
      <c r="E276" s="381"/>
      <c r="F276" s="381"/>
      <c r="G276" s="381"/>
      <c r="H276" s="665"/>
      <c r="I276" s="389"/>
      <c r="J276" s="381"/>
    </row>
    <row r="277" spans="2:10" x14ac:dyDescent="0.25">
      <c r="B277" s="14" t="s">
        <v>219</v>
      </c>
    </row>
    <row r="279" spans="2:10" ht="15.6" x14ac:dyDescent="0.25">
      <c r="B279" s="864" t="s">
        <v>191</v>
      </c>
      <c r="C279" s="864"/>
      <c r="D279" s="864"/>
      <c r="E279" s="864"/>
      <c r="F279" s="864"/>
      <c r="G279" s="864"/>
      <c r="H279" s="864"/>
      <c r="I279" s="864"/>
      <c r="J279" s="864"/>
    </row>
    <row r="280" spans="2:10" ht="15.6" x14ac:dyDescent="0.25">
      <c r="B280" s="864" t="s">
        <v>137</v>
      </c>
      <c r="C280" s="864"/>
      <c r="D280" s="864"/>
      <c r="E280" s="864"/>
      <c r="F280" s="864"/>
      <c r="G280" s="864"/>
      <c r="H280" s="864"/>
      <c r="I280" s="864"/>
      <c r="J280" s="864"/>
    </row>
    <row r="281" spans="2:10" ht="15.6" x14ac:dyDescent="0.25">
      <c r="B281" s="864">
        <v>2012</v>
      </c>
      <c r="C281" s="864"/>
      <c r="D281" s="864"/>
      <c r="E281" s="864"/>
      <c r="F281" s="864"/>
      <c r="G281" s="864"/>
      <c r="H281" s="864"/>
      <c r="I281" s="864"/>
      <c r="J281" s="864"/>
    </row>
    <row r="282" spans="2:10" ht="16.2" thickBot="1" x14ac:dyDescent="0.3">
      <c r="B282" s="929" t="s">
        <v>27</v>
      </c>
      <c r="C282" s="929"/>
      <c r="D282" s="929"/>
      <c r="E282" s="929"/>
      <c r="F282" s="929"/>
      <c r="G282" s="929"/>
      <c r="H282" s="929"/>
      <c r="I282" s="929"/>
      <c r="J282" s="929"/>
    </row>
    <row r="283" spans="2:10" ht="16.2" thickBot="1" x14ac:dyDescent="0.3">
      <c r="B283" s="594" t="s">
        <v>100</v>
      </c>
      <c r="C283" s="595" t="s">
        <v>52</v>
      </c>
      <c r="D283" s="595" t="s">
        <v>123</v>
      </c>
      <c r="E283" s="595" t="s">
        <v>181</v>
      </c>
      <c r="F283" s="595" t="s">
        <v>131</v>
      </c>
      <c r="G283" s="595" t="s">
        <v>232</v>
      </c>
      <c r="H283" s="595" t="s">
        <v>233</v>
      </c>
      <c r="I283" s="594" t="s">
        <v>84</v>
      </c>
      <c r="J283" s="595" t="s">
        <v>78</v>
      </c>
    </row>
    <row r="284" spans="2:10" x14ac:dyDescent="0.25">
      <c r="B284" s="574"/>
      <c r="C284" s="377"/>
      <c r="D284" s="377"/>
      <c r="E284" s="378"/>
      <c r="F284" s="378"/>
      <c r="G284" s="378"/>
      <c r="H284" s="659"/>
      <c r="I284" s="379"/>
      <c r="J284" s="378"/>
    </row>
    <row r="285" spans="2:10" ht="15.6" x14ac:dyDescent="0.25">
      <c r="B285" s="570" t="s">
        <v>103</v>
      </c>
      <c r="C285" s="380">
        <f t="shared" ref="C285:H285" si="45">+C291+C296+C301+C306</f>
        <v>6182.1428571428578</v>
      </c>
      <c r="D285" s="380">
        <f t="shared" si="45"/>
        <v>98644.64285714287</v>
      </c>
      <c r="E285" s="380">
        <f t="shared" si="45"/>
        <v>0</v>
      </c>
      <c r="F285" s="380">
        <f t="shared" si="45"/>
        <v>0</v>
      </c>
      <c r="G285" s="380">
        <f t="shared" si="45"/>
        <v>71.428571428571431</v>
      </c>
      <c r="H285" s="660">
        <f t="shared" si="45"/>
        <v>361.90476190476193</v>
      </c>
      <c r="I285" s="666">
        <f>+I291+I296+I301+I306</f>
        <v>436.92857142857144</v>
      </c>
      <c r="J285" s="380">
        <f>+J291+J296+J301+J306</f>
        <v>105697.04761904763</v>
      </c>
    </row>
    <row r="286" spans="2:10" ht="15.6" thickBot="1" x14ac:dyDescent="0.3">
      <c r="B286" s="593"/>
      <c r="C286" s="381"/>
      <c r="D286" s="381"/>
      <c r="E286" s="382"/>
      <c r="F286" s="382"/>
      <c r="G286" s="382"/>
      <c r="H286" s="661"/>
      <c r="I286" s="383"/>
      <c r="J286" s="382"/>
    </row>
    <row r="287" spans="2:10" x14ac:dyDescent="0.25">
      <c r="B287" s="579"/>
      <c r="C287" s="384"/>
      <c r="D287" s="384"/>
      <c r="E287" s="385"/>
      <c r="F287" s="385"/>
      <c r="G287" s="385"/>
      <c r="H287" s="662"/>
      <c r="I287" s="386"/>
      <c r="J287" s="385"/>
    </row>
    <row r="288" spans="2:10" x14ac:dyDescent="0.25">
      <c r="B288" s="577" t="s">
        <v>86</v>
      </c>
      <c r="C288" s="387">
        <f>+'C-SH-6A ConsCombFloPesq,04-21'!C289/42</f>
        <v>207.14285714285714</v>
      </c>
      <c r="D288" s="387">
        <f>+'C-SH-6A ConsCombFloPesq,04-21'!D289/42</f>
        <v>9538.2380952380954</v>
      </c>
      <c r="E288" s="387">
        <f>+'C-SH-6A ConsCombFloPesq,04-21'!E289/42</f>
        <v>0</v>
      </c>
      <c r="F288" s="387">
        <f>+'C-SH-6A ConsCombFloPesq,04-21'!F289/42</f>
        <v>0</v>
      </c>
      <c r="G288" s="387">
        <f>+'C-SH-6A ConsCombFloPesq,04-21'!G289/42</f>
        <v>0</v>
      </c>
      <c r="H288" s="387">
        <f>+'C-SH-6A ConsCombFloPesq,04-21'!H289/42</f>
        <v>150</v>
      </c>
      <c r="I288" s="387">
        <f>+'C-SH-6A ConsCombFloPesq,04-21'!I289/42</f>
        <v>9.3809523809523814</v>
      </c>
      <c r="J288" s="387">
        <f>+'C-SH-6A ConsCombFloPesq,04-21'!J290/42</f>
        <v>6285.6190476190477</v>
      </c>
    </row>
    <row r="289" spans="2:10" x14ac:dyDescent="0.25">
      <c r="B289" s="577" t="s">
        <v>87</v>
      </c>
      <c r="C289" s="387">
        <f>+'C-SH-6A ConsCombFloPesq,04-21'!C290/42</f>
        <v>178.57142857142858</v>
      </c>
      <c r="D289" s="387">
        <f>+'C-SH-6A ConsCombFloPesq,04-21'!D290/42</f>
        <v>5829.666666666667</v>
      </c>
      <c r="E289" s="387">
        <f>+'C-SH-6A ConsCombFloPesq,04-21'!E290/42</f>
        <v>0</v>
      </c>
      <c r="F289" s="387">
        <f>+'C-SH-6A ConsCombFloPesq,04-21'!F290/42</f>
        <v>0</v>
      </c>
      <c r="G289" s="387">
        <f>+'C-SH-6A ConsCombFloPesq,04-21'!G290/42</f>
        <v>0</v>
      </c>
      <c r="H289" s="387">
        <f>+'C-SH-6A ConsCombFloPesq,04-21'!H290/42</f>
        <v>211.9047619047619</v>
      </c>
      <c r="I289" s="387">
        <f>+'C-SH-6A ConsCombFloPesq,04-21'!I290/42</f>
        <v>65.476190476190482</v>
      </c>
      <c r="J289" s="387">
        <f>+'C-SH-6A ConsCombFloPesq,04-21'!J291/42</f>
        <v>7102.6428571428569</v>
      </c>
    </row>
    <row r="290" spans="2:10" x14ac:dyDescent="0.25">
      <c r="B290" s="577" t="s">
        <v>88</v>
      </c>
      <c r="C290" s="387">
        <f>+'C-SH-6A ConsCombFloPesq,04-21'!C291/42</f>
        <v>54.761904761904759</v>
      </c>
      <c r="D290" s="387">
        <f>+'C-SH-6A ConsCombFloPesq,04-21'!D291/42</f>
        <v>6982.333333333333</v>
      </c>
      <c r="E290" s="387">
        <f>+'C-SH-6A ConsCombFloPesq,04-21'!E291/42</f>
        <v>0</v>
      </c>
      <c r="F290" s="387">
        <f>+'C-SH-6A ConsCombFloPesq,04-21'!F291/42</f>
        <v>0</v>
      </c>
      <c r="G290" s="387">
        <f>+'C-SH-6A ConsCombFloPesq,04-21'!G291/42</f>
        <v>0</v>
      </c>
      <c r="H290" s="387">
        <f>+'C-SH-6A ConsCombFloPesq,04-21'!H291/42</f>
        <v>0</v>
      </c>
      <c r="I290" s="387">
        <f>+'C-SH-6A ConsCombFloPesq,04-21'!I291/42</f>
        <v>65.547619047619051</v>
      </c>
      <c r="J290" s="387">
        <f>+'C-SH-6A ConsCombFloPesq,04-21'!J292/42</f>
        <v>23293.023809523809</v>
      </c>
    </row>
    <row r="291" spans="2:10" ht="15.6" x14ac:dyDescent="0.25">
      <c r="B291" s="570" t="s">
        <v>138</v>
      </c>
      <c r="C291" s="380">
        <f t="shared" ref="C291:I291" si="46">SUM(C288:C290)</f>
        <v>440.47619047619048</v>
      </c>
      <c r="D291" s="380">
        <f t="shared" si="46"/>
        <v>22350.238095238095</v>
      </c>
      <c r="E291" s="380">
        <f t="shared" si="46"/>
        <v>0</v>
      </c>
      <c r="F291" s="380">
        <f t="shared" si="46"/>
        <v>0</v>
      </c>
      <c r="G291" s="380">
        <f t="shared" si="46"/>
        <v>0</v>
      </c>
      <c r="H291" s="380">
        <f t="shared" si="46"/>
        <v>361.90476190476193</v>
      </c>
      <c r="I291" s="666">
        <f t="shared" si="46"/>
        <v>140.40476190476193</v>
      </c>
      <c r="J291" s="380">
        <f>+C291+D291+E291+F291+G291+H291+I291</f>
        <v>23293.023809523813</v>
      </c>
    </row>
    <row r="292" spans="2:10" x14ac:dyDescent="0.25">
      <c r="B292" s="577"/>
      <c r="C292" s="387"/>
      <c r="D292" s="387"/>
      <c r="E292" s="387"/>
      <c r="F292" s="387"/>
      <c r="G292" s="387"/>
      <c r="H292" s="664"/>
      <c r="I292" s="388"/>
      <c r="J292" s="387"/>
    </row>
    <row r="293" spans="2:10" x14ac:dyDescent="0.25">
      <c r="B293" s="577" t="s">
        <v>89</v>
      </c>
      <c r="C293" s="387">
        <f>+'C-SH-6A ConsCombFloPesq,04-21'!C294/42</f>
        <v>4695.2380952380954</v>
      </c>
      <c r="D293" s="387">
        <f>+'C-SH-6A ConsCombFloPesq,04-21'!D294/42</f>
        <v>4652.833333333333</v>
      </c>
      <c r="E293" s="387">
        <f>+'C-SH-6A ConsCombFloPesq,04-21'!E294/42</f>
        <v>0</v>
      </c>
      <c r="F293" s="387">
        <f>+'C-SH-6A ConsCombFloPesq,04-21'!F294/42</f>
        <v>0</v>
      </c>
      <c r="G293" s="387">
        <f>+'C-SH-6A ConsCombFloPesq,04-21'!G294/42</f>
        <v>0</v>
      </c>
      <c r="H293" s="387">
        <f>+'C-SH-6A ConsCombFloPesq,04-21'!H294/42</f>
        <v>0</v>
      </c>
      <c r="I293" s="387">
        <f>+'C-SH-6A ConsCombFloPesq,04-21'!I294/42</f>
        <v>1.4047619047619047</v>
      </c>
      <c r="J293" s="387">
        <f>+'C-SH-6A ConsCombFloPesq,04-21'!J295/42</f>
        <v>9731.4761904761908</v>
      </c>
    </row>
    <row r="294" spans="2:10" x14ac:dyDescent="0.25">
      <c r="B294" s="577" t="s">
        <v>90</v>
      </c>
      <c r="C294" s="387">
        <f>+'C-SH-6A ConsCombFloPesq,04-21'!C295/42</f>
        <v>107.14285714285714</v>
      </c>
      <c r="D294" s="387">
        <f>+'C-SH-6A ConsCombFloPesq,04-21'!D295/42</f>
        <v>9571.8571428571431</v>
      </c>
      <c r="E294" s="387">
        <f>+'C-SH-6A ConsCombFloPesq,04-21'!E295/42</f>
        <v>0</v>
      </c>
      <c r="F294" s="387">
        <f>+'C-SH-6A ConsCombFloPesq,04-21'!F295/42</f>
        <v>0</v>
      </c>
      <c r="G294" s="387">
        <f>+'C-SH-6A ConsCombFloPesq,04-21'!G295/42</f>
        <v>0</v>
      </c>
      <c r="H294" s="387">
        <f>+'C-SH-6A ConsCombFloPesq,04-21'!H295/42</f>
        <v>0</v>
      </c>
      <c r="I294" s="387">
        <f>+'C-SH-6A ConsCombFloPesq,04-21'!I295/42</f>
        <v>52.476190476190474</v>
      </c>
      <c r="J294" s="387">
        <f>+'C-SH-6A ConsCombFloPesq,04-21'!J296/42</f>
        <v>10705.619047619048</v>
      </c>
    </row>
    <row r="295" spans="2:10" x14ac:dyDescent="0.25">
      <c r="B295" s="577" t="s">
        <v>91</v>
      </c>
      <c r="C295" s="387">
        <f>+'C-SH-6A ConsCombFloPesq,04-21'!C296/42</f>
        <v>144.04761904761904</v>
      </c>
      <c r="D295" s="387">
        <f>+'C-SH-6A ConsCombFloPesq,04-21'!D296/42</f>
        <v>10494.880952380952</v>
      </c>
      <c r="E295" s="387">
        <f>+'C-SH-6A ConsCombFloPesq,04-21'!E296/42</f>
        <v>0</v>
      </c>
      <c r="F295" s="387">
        <f>+'C-SH-6A ConsCombFloPesq,04-21'!F296/42</f>
        <v>0</v>
      </c>
      <c r="G295" s="387">
        <f>+'C-SH-6A ConsCombFloPesq,04-21'!G296/42</f>
        <v>0</v>
      </c>
      <c r="H295" s="387">
        <f>+'C-SH-6A ConsCombFloPesq,04-21'!H296/42</f>
        <v>0</v>
      </c>
      <c r="I295" s="387">
        <f>+'C-SH-6A ConsCombFloPesq,04-21'!I296/42</f>
        <v>66.69047619047619</v>
      </c>
      <c r="J295" s="387">
        <f>+'C-SH-6A ConsCombFloPesq,04-21'!J297/42</f>
        <v>29786.571428571428</v>
      </c>
    </row>
    <row r="296" spans="2:10" ht="15.6" x14ac:dyDescent="0.25">
      <c r="B296" s="570" t="s">
        <v>139</v>
      </c>
      <c r="C296" s="380">
        <f t="shared" ref="C296:I296" si="47">SUM(C293:C295)</f>
        <v>4946.4285714285716</v>
      </c>
      <c r="D296" s="380">
        <f t="shared" si="47"/>
        <v>24719.571428571428</v>
      </c>
      <c r="E296" s="380">
        <f t="shared" si="47"/>
        <v>0</v>
      </c>
      <c r="F296" s="380">
        <f t="shared" si="47"/>
        <v>0</v>
      </c>
      <c r="G296" s="380">
        <f t="shared" si="47"/>
        <v>0</v>
      </c>
      <c r="H296" s="380">
        <f t="shared" si="47"/>
        <v>0</v>
      </c>
      <c r="I296" s="666">
        <f t="shared" si="47"/>
        <v>120.57142857142857</v>
      </c>
      <c r="J296" s="380">
        <f>+C296+D296+E296+F296+G296+H296+I296</f>
        <v>29786.571428571428</v>
      </c>
    </row>
    <row r="297" spans="2:10" x14ac:dyDescent="0.25">
      <c r="B297" s="577"/>
      <c r="C297" s="387"/>
      <c r="D297" s="387"/>
      <c r="E297" s="387"/>
      <c r="F297" s="387"/>
      <c r="G297" s="387"/>
      <c r="H297" s="664"/>
      <c r="I297" s="388"/>
      <c r="J297" s="387"/>
    </row>
    <row r="298" spans="2:10" x14ac:dyDescent="0.25">
      <c r="B298" s="577" t="s">
        <v>93</v>
      </c>
      <c r="C298" s="387">
        <f>+'C-SH-6A ConsCombFloPesq,04-21'!C299/42</f>
        <v>86.904761904761898</v>
      </c>
      <c r="D298" s="387">
        <f>+'C-SH-6A ConsCombFloPesq,04-21'!D299/42</f>
        <v>10137.976190476191</v>
      </c>
      <c r="E298" s="387">
        <f>+'C-SH-6A ConsCombFloPesq,04-21'!E299/42</f>
        <v>0</v>
      </c>
      <c r="F298" s="387">
        <f>+'C-SH-6A ConsCombFloPesq,04-21'!F299/42</f>
        <v>0</v>
      </c>
      <c r="G298" s="387">
        <f>+'C-SH-6A ConsCombFloPesq,04-21'!G299/42</f>
        <v>0</v>
      </c>
      <c r="H298" s="387">
        <f>+'C-SH-6A ConsCombFloPesq,04-21'!H299/42</f>
        <v>0</v>
      </c>
      <c r="I298" s="387">
        <f>+'C-SH-6A ConsCombFloPesq,04-21'!I299/42</f>
        <v>39.333333333333336</v>
      </c>
      <c r="J298" s="387">
        <f>+'C-SH-6A ConsCombFloPesq,04-21'!J300/42</f>
        <v>11860.380952380952</v>
      </c>
    </row>
    <row r="299" spans="2:10" x14ac:dyDescent="0.25">
      <c r="B299" s="577" t="s">
        <v>94</v>
      </c>
      <c r="C299" s="387">
        <f>+'C-SH-6A ConsCombFloPesq,04-21'!C300/42</f>
        <v>123.80952380952381</v>
      </c>
      <c r="D299" s="387">
        <f>+'C-SH-6A ConsCombFloPesq,04-21'!D300/42</f>
        <v>11651.309523809523</v>
      </c>
      <c r="E299" s="387">
        <f>+'C-SH-6A ConsCombFloPesq,04-21'!E300/42</f>
        <v>0</v>
      </c>
      <c r="F299" s="387">
        <f>+'C-SH-6A ConsCombFloPesq,04-21'!F300/42</f>
        <v>0</v>
      </c>
      <c r="G299" s="387">
        <f>+'C-SH-6A ConsCombFloPesq,04-21'!G300/42</f>
        <v>0</v>
      </c>
      <c r="H299" s="387">
        <f>+'C-SH-6A ConsCombFloPesq,04-21'!H300/42</f>
        <v>0</v>
      </c>
      <c r="I299" s="387">
        <f>+'C-SH-6A ConsCombFloPesq,04-21'!I300/42</f>
        <v>85.261904761904759</v>
      </c>
      <c r="J299" s="387">
        <f>+'C-SH-6A ConsCombFloPesq,04-21'!J301/42</f>
        <v>6164.2380952380954</v>
      </c>
    </row>
    <row r="300" spans="2:10" x14ac:dyDescent="0.25">
      <c r="B300" s="577" t="s">
        <v>101</v>
      </c>
      <c r="C300" s="387">
        <f>+'C-SH-6A ConsCombFloPesq,04-21'!C301/42</f>
        <v>19.047619047619047</v>
      </c>
      <c r="D300" s="387">
        <f>+'C-SH-6A ConsCombFloPesq,04-21'!D301/42</f>
        <v>6141.6190476190477</v>
      </c>
      <c r="E300" s="387">
        <f>+'C-SH-6A ConsCombFloPesq,04-21'!E301/42</f>
        <v>0</v>
      </c>
      <c r="F300" s="387">
        <f>+'C-SH-6A ConsCombFloPesq,04-21'!F301/42</f>
        <v>0</v>
      </c>
      <c r="G300" s="387">
        <f>+'C-SH-6A ConsCombFloPesq,04-21'!G301/42</f>
        <v>0</v>
      </c>
      <c r="H300" s="387">
        <f>+'C-SH-6A ConsCombFloPesq,04-21'!H301/42</f>
        <v>0</v>
      </c>
      <c r="I300" s="387">
        <f>+'C-SH-6A ConsCombFloPesq,04-21'!I301/42</f>
        <v>3.5714285714285716</v>
      </c>
      <c r="J300" s="387">
        <f>+'C-SH-6A ConsCombFloPesq,04-21'!J302/42</f>
        <v>28288.833333333332</v>
      </c>
    </row>
    <row r="301" spans="2:10" ht="15.6" x14ac:dyDescent="0.25">
      <c r="B301" s="570" t="s">
        <v>140</v>
      </c>
      <c r="C301" s="380">
        <f t="shared" ref="C301:I301" si="48">SUM(C298:C300)</f>
        <v>229.76190476190476</v>
      </c>
      <c r="D301" s="380">
        <f t="shared" si="48"/>
        <v>27930.904761904763</v>
      </c>
      <c r="E301" s="380">
        <f t="shared" si="48"/>
        <v>0</v>
      </c>
      <c r="F301" s="380">
        <f t="shared" si="48"/>
        <v>0</v>
      </c>
      <c r="G301" s="380">
        <f t="shared" si="48"/>
        <v>0</v>
      </c>
      <c r="H301" s="380">
        <f t="shared" si="48"/>
        <v>0</v>
      </c>
      <c r="I301" s="666">
        <f t="shared" si="48"/>
        <v>128.16666666666669</v>
      </c>
      <c r="J301" s="380">
        <f>+C301+D301+E301+F301+G301+H301+I301</f>
        <v>28288.833333333336</v>
      </c>
    </row>
    <row r="302" spans="2:10" x14ac:dyDescent="0.25">
      <c r="B302" s="577"/>
      <c r="C302" s="387"/>
      <c r="D302" s="387"/>
      <c r="E302" s="387"/>
      <c r="F302" s="387"/>
      <c r="G302" s="387"/>
      <c r="H302" s="664"/>
      <c r="I302" s="388"/>
      <c r="J302" s="387"/>
    </row>
    <row r="303" spans="2:10" x14ac:dyDescent="0.25">
      <c r="B303" s="577" t="s">
        <v>95</v>
      </c>
      <c r="C303" s="387">
        <f>+'C-SH-6A ConsCombFloPesq,04-21'!C304/42</f>
        <v>138.0952380952381</v>
      </c>
      <c r="D303" s="387">
        <f>+'C-SH-6A ConsCombFloPesq,04-21'!D304/42</f>
        <v>10314.595238095239</v>
      </c>
      <c r="E303" s="387">
        <f>+'C-SH-6A ConsCombFloPesq,04-21'!E304/42</f>
        <v>0</v>
      </c>
      <c r="F303" s="387">
        <f>+'C-SH-6A ConsCombFloPesq,04-21'!F304/42</f>
        <v>0</v>
      </c>
      <c r="G303" s="387">
        <f>+'C-SH-6A ConsCombFloPesq,04-21'!G304/42</f>
        <v>71.428571428571431</v>
      </c>
      <c r="H303" s="387">
        <f>+'C-SH-6A ConsCombFloPesq,04-21'!H304/42</f>
        <v>0</v>
      </c>
      <c r="I303" s="387">
        <f>+'C-SH-6A ConsCombFloPesq,04-21'!I304/42</f>
        <v>14.761904761904763</v>
      </c>
      <c r="J303" s="387">
        <f>+'C-SH-6A ConsCombFloPesq,04-21'!J305/42</f>
        <v>7341.7142857142853</v>
      </c>
    </row>
    <row r="304" spans="2:10" x14ac:dyDescent="0.25">
      <c r="B304" s="577" t="s">
        <v>96</v>
      </c>
      <c r="C304" s="387">
        <f>+'C-SH-6A ConsCombFloPesq,04-21'!C305/42</f>
        <v>180.95238095238096</v>
      </c>
      <c r="D304" s="387">
        <f>+'C-SH-6A ConsCombFloPesq,04-21'!D305/42</f>
        <v>7160.6190476190477</v>
      </c>
      <c r="E304" s="387">
        <f>+'C-SH-6A ConsCombFloPesq,04-21'!E305/42</f>
        <v>0</v>
      </c>
      <c r="F304" s="387">
        <f>+'C-SH-6A ConsCombFloPesq,04-21'!F305/42</f>
        <v>0</v>
      </c>
      <c r="G304" s="387">
        <f>+'C-SH-6A ConsCombFloPesq,04-21'!G305/42</f>
        <v>0</v>
      </c>
      <c r="H304" s="387">
        <f>+'C-SH-6A ConsCombFloPesq,04-21'!H305/42</f>
        <v>0</v>
      </c>
      <c r="I304" s="387">
        <f>+'C-SH-6A ConsCombFloPesq,04-21'!I305/42</f>
        <v>0.14285714285714285</v>
      </c>
      <c r="J304" s="387">
        <f>+'C-SH-6A ConsCombFloPesq,04-21'!J306/42</f>
        <v>6448.0238095238092</v>
      </c>
    </row>
    <row r="305" spans="2:10" x14ac:dyDescent="0.25">
      <c r="B305" s="577" t="s">
        <v>97</v>
      </c>
      <c r="C305" s="387">
        <f>+'C-SH-6A ConsCombFloPesq,04-21'!C306/42</f>
        <v>246.42857142857142</v>
      </c>
      <c r="D305" s="387">
        <f>+'C-SH-6A ConsCombFloPesq,04-21'!D306/42</f>
        <v>6168.7142857142853</v>
      </c>
      <c r="E305" s="387">
        <f>+'C-SH-6A ConsCombFloPesq,04-21'!E306/42</f>
        <v>0</v>
      </c>
      <c r="F305" s="387">
        <f>+'C-SH-6A ConsCombFloPesq,04-21'!F306/42</f>
        <v>0</v>
      </c>
      <c r="G305" s="387">
        <f>+'C-SH-6A ConsCombFloPesq,04-21'!G306/42</f>
        <v>0</v>
      </c>
      <c r="H305" s="387">
        <f>+'C-SH-6A ConsCombFloPesq,04-21'!H306/42</f>
        <v>0</v>
      </c>
      <c r="I305" s="387">
        <f>+'C-SH-6A ConsCombFloPesq,04-21'!I306/42</f>
        <v>32.88095238095238</v>
      </c>
      <c r="J305" s="387">
        <f>+'C-SH-6A ConsCombFloPesq,04-21'!J307/42</f>
        <v>24328.619047619046</v>
      </c>
    </row>
    <row r="306" spans="2:10" ht="15.6" x14ac:dyDescent="0.25">
      <c r="B306" s="570" t="s">
        <v>141</v>
      </c>
      <c r="C306" s="380">
        <f t="shared" ref="C306:I306" si="49">SUM(C303:C305)</f>
        <v>565.47619047619048</v>
      </c>
      <c r="D306" s="380">
        <f t="shared" si="49"/>
        <v>23643.928571428572</v>
      </c>
      <c r="E306" s="380">
        <f t="shared" si="49"/>
        <v>0</v>
      </c>
      <c r="F306" s="380">
        <f t="shared" si="49"/>
        <v>0</v>
      </c>
      <c r="G306" s="380">
        <f t="shared" si="49"/>
        <v>71.428571428571431</v>
      </c>
      <c r="H306" s="380">
        <f t="shared" si="49"/>
        <v>0</v>
      </c>
      <c r="I306" s="666">
        <f t="shared" si="49"/>
        <v>47.785714285714285</v>
      </c>
      <c r="J306" s="380">
        <f>+C306+D306+E306+F306+G306+H306+I306</f>
        <v>24328.61904761905</v>
      </c>
    </row>
    <row r="307" spans="2:10" ht="15.6" thickBot="1" x14ac:dyDescent="0.3">
      <c r="B307" s="593"/>
      <c r="C307" s="381"/>
      <c r="D307" s="381"/>
      <c r="E307" s="381"/>
      <c r="F307" s="381"/>
      <c r="G307" s="381"/>
      <c r="H307" s="665"/>
      <c r="I307" s="389"/>
      <c r="J307" s="381"/>
    </row>
    <row r="308" spans="2:10" x14ac:dyDescent="0.25">
      <c r="B308" s="14" t="s">
        <v>219</v>
      </c>
    </row>
    <row r="309" spans="2:10" x14ac:dyDescent="0.25">
      <c r="B309" s="14"/>
    </row>
    <row r="310" spans="2:10" ht="15.6" x14ac:dyDescent="0.25">
      <c r="B310" s="864" t="s">
        <v>191</v>
      </c>
      <c r="C310" s="864"/>
      <c r="D310" s="864"/>
      <c r="E310" s="864"/>
      <c r="F310" s="864"/>
      <c r="G310" s="864"/>
      <c r="H310" s="864"/>
      <c r="I310" s="864"/>
      <c r="J310" s="864"/>
    </row>
    <row r="311" spans="2:10" ht="15.6" x14ac:dyDescent="0.25">
      <c r="B311" s="864" t="s">
        <v>137</v>
      </c>
      <c r="C311" s="864"/>
      <c r="D311" s="864"/>
      <c r="E311" s="864"/>
      <c r="F311" s="864"/>
      <c r="G311" s="864"/>
      <c r="H311" s="864"/>
      <c r="I311" s="864"/>
      <c r="J311" s="864"/>
    </row>
    <row r="312" spans="2:10" ht="15.6" x14ac:dyDescent="0.25">
      <c r="B312" s="864">
        <v>2011</v>
      </c>
      <c r="C312" s="864"/>
      <c r="D312" s="864"/>
      <c r="E312" s="864"/>
      <c r="F312" s="864"/>
      <c r="G312" s="864"/>
      <c r="H312" s="864"/>
      <c r="I312" s="864"/>
      <c r="J312" s="864"/>
    </row>
    <row r="313" spans="2:10" ht="16.2" thickBot="1" x14ac:dyDescent="0.3">
      <c r="B313" s="929" t="s">
        <v>27</v>
      </c>
      <c r="C313" s="929"/>
      <c r="D313" s="929"/>
      <c r="E313" s="929"/>
      <c r="F313" s="929"/>
      <c r="G313" s="929"/>
      <c r="H313" s="929"/>
      <c r="I313" s="929"/>
      <c r="J313" s="929"/>
    </row>
    <row r="314" spans="2:10" ht="16.2" thickBot="1" x14ac:dyDescent="0.3">
      <c r="B314" s="594" t="s">
        <v>100</v>
      </c>
      <c r="C314" s="595" t="s">
        <v>52</v>
      </c>
      <c r="D314" s="595" t="s">
        <v>123</v>
      </c>
      <c r="E314" s="595" t="s">
        <v>181</v>
      </c>
      <c r="F314" s="595" t="s">
        <v>131</v>
      </c>
      <c r="G314" s="595" t="s">
        <v>232</v>
      </c>
      <c r="H314" s="595" t="s">
        <v>233</v>
      </c>
      <c r="I314" s="594" t="s">
        <v>84</v>
      </c>
      <c r="J314" s="595" t="s">
        <v>78</v>
      </c>
    </row>
    <row r="315" spans="2:10" x14ac:dyDescent="0.25">
      <c r="B315" s="574"/>
      <c r="C315" s="377"/>
      <c r="D315" s="377"/>
      <c r="E315" s="378"/>
      <c r="F315" s="378"/>
      <c r="G315" s="378"/>
      <c r="H315" s="659"/>
      <c r="I315" s="379"/>
      <c r="J315" s="378"/>
    </row>
    <row r="316" spans="2:10" ht="15.6" x14ac:dyDescent="0.25">
      <c r="B316" s="570" t="s">
        <v>103</v>
      </c>
      <c r="C316" s="380">
        <f t="shared" ref="C316:H316" si="50">+C322+C327+C332+C337</f>
        <v>4355.9523809523807</v>
      </c>
      <c r="D316" s="380">
        <f t="shared" si="50"/>
        <v>89807.476190476198</v>
      </c>
      <c r="E316" s="380">
        <f t="shared" si="50"/>
        <v>0</v>
      </c>
      <c r="F316" s="380">
        <f t="shared" si="50"/>
        <v>0</v>
      </c>
      <c r="G316" s="380">
        <f t="shared" si="50"/>
        <v>55.952380952380949</v>
      </c>
      <c r="H316" s="660">
        <f t="shared" si="50"/>
        <v>345.23809523809524</v>
      </c>
      <c r="I316" s="666">
        <f>+I322+I327+I332+I337</f>
        <v>338.45238095238091</v>
      </c>
      <c r="J316" s="380">
        <f>+J322+J327+J332+J337</f>
        <v>94903.07142857142</v>
      </c>
    </row>
    <row r="317" spans="2:10" ht="15.6" thickBot="1" x14ac:dyDescent="0.3">
      <c r="B317" s="593"/>
      <c r="C317" s="381"/>
      <c r="D317" s="381"/>
      <c r="E317" s="382"/>
      <c r="F317" s="382"/>
      <c r="G317" s="382"/>
      <c r="H317" s="661"/>
      <c r="I317" s="383"/>
      <c r="J317" s="382"/>
    </row>
    <row r="318" spans="2:10" x14ac:dyDescent="0.25">
      <c r="B318" s="579"/>
      <c r="C318" s="384"/>
      <c r="D318" s="384"/>
      <c r="E318" s="385"/>
      <c r="F318" s="385"/>
      <c r="G318" s="385"/>
      <c r="H318" s="662"/>
      <c r="I318" s="386"/>
      <c r="J318" s="385"/>
    </row>
    <row r="319" spans="2:10" x14ac:dyDescent="0.25">
      <c r="B319" s="577" t="s">
        <v>86</v>
      </c>
      <c r="C319" s="387">
        <f>+'C-SH-6A ConsCombFloPesq,04-21'!C320/42</f>
        <v>1009.5238095238095</v>
      </c>
      <c r="D319" s="387">
        <f>+'C-SH-6A ConsCombFloPesq,04-21'!D320/42</f>
        <v>3473.1428571428573</v>
      </c>
      <c r="E319" s="387">
        <f>+'C-SH-6A ConsCombFloPesq,04-21'!E320/42</f>
        <v>0</v>
      </c>
      <c r="F319" s="387">
        <f>+'C-SH-6A ConsCombFloPesq,04-21'!F320/42</f>
        <v>0</v>
      </c>
      <c r="G319" s="387">
        <f>+'C-SH-6A ConsCombFloPesq,04-21'!G320/42</f>
        <v>0</v>
      </c>
      <c r="H319" s="663">
        <f>+'C-SH-6A ConsCombFloPesq,04-21'!H320/42</f>
        <v>0</v>
      </c>
      <c r="I319" s="388">
        <f>+'C-SH-6A ConsCombFloPesq,04-21'!I320/42</f>
        <v>102.14285714285714</v>
      </c>
      <c r="J319" s="387">
        <f>+'C-SH-6A ConsCombFloPesq,04-21'!J320/42</f>
        <v>4584.8095238095239</v>
      </c>
    </row>
    <row r="320" spans="2:10" x14ac:dyDescent="0.25">
      <c r="B320" s="577" t="s">
        <v>87</v>
      </c>
      <c r="C320" s="387">
        <f>+'C-SH-6A ConsCombFloPesq,04-21'!C321/42</f>
        <v>978.57142857142856</v>
      </c>
      <c r="D320" s="387">
        <f>+'C-SH-6A ConsCombFloPesq,04-21'!D321/42</f>
        <v>3277.5714285714284</v>
      </c>
      <c r="E320" s="387">
        <f>+'C-SH-6A ConsCombFloPesq,04-21'!E321/42</f>
        <v>0</v>
      </c>
      <c r="F320" s="387">
        <f>+'C-SH-6A ConsCombFloPesq,04-21'!F321/42</f>
        <v>0</v>
      </c>
      <c r="G320" s="387">
        <f>+'C-SH-6A ConsCombFloPesq,04-21'!G321/42</f>
        <v>0</v>
      </c>
      <c r="H320" s="663">
        <f>+'C-SH-6A ConsCombFloPesq,04-21'!H321/42</f>
        <v>0</v>
      </c>
      <c r="I320" s="388">
        <f>+'C-SH-6A ConsCombFloPesq,04-21'!I321/42</f>
        <v>57.61904761904762</v>
      </c>
      <c r="J320" s="387">
        <f>+'C-SH-6A ConsCombFloPesq,04-21'!J321/42</f>
        <v>4313.7619047619046</v>
      </c>
    </row>
    <row r="321" spans="2:10" x14ac:dyDescent="0.25">
      <c r="B321" s="577" t="s">
        <v>88</v>
      </c>
      <c r="C321" s="387">
        <f>+'C-SH-6A ConsCombFloPesq,04-21'!C322/42</f>
        <v>640.47619047619048</v>
      </c>
      <c r="D321" s="387">
        <f>+'C-SH-6A ConsCombFloPesq,04-21'!D322/42</f>
        <v>6647.7380952380954</v>
      </c>
      <c r="E321" s="387">
        <f>+'C-SH-6A ConsCombFloPesq,04-21'!E322/42</f>
        <v>0</v>
      </c>
      <c r="F321" s="387">
        <f>+'C-SH-6A ConsCombFloPesq,04-21'!F322/42</f>
        <v>0</v>
      </c>
      <c r="G321" s="387">
        <f>+'C-SH-6A ConsCombFloPesq,04-21'!G322/42</f>
        <v>0</v>
      </c>
      <c r="H321" s="663">
        <f>+'C-SH-6A ConsCombFloPesq,04-21'!H322/42</f>
        <v>0</v>
      </c>
      <c r="I321" s="388">
        <f>+'C-SH-6A ConsCombFloPesq,04-21'!I322/42</f>
        <v>8.0714285714285712</v>
      </c>
      <c r="J321" s="387">
        <f>+'C-SH-6A ConsCombFloPesq,04-21'!J322/42</f>
        <v>7296.2857142857147</v>
      </c>
    </row>
    <row r="322" spans="2:10" ht="15.6" x14ac:dyDescent="0.25">
      <c r="B322" s="570" t="s">
        <v>138</v>
      </c>
      <c r="C322" s="380">
        <f t="shared" ref="C322:I322" si="51">SUM(C319:C321)</f>
        <v>2628.5714285714284</v>
      </c>
      <c r="D322" s="380">
        <f t="shared" si="51"/>
        <v>13398.452380952382</v>
      </c>
      <c r="E322" s="380">
        <f t="shared" si="51"/>
        <v>0</v>
      </c>
      <c r="F322" s="380">
        <f t="shared" si="51"/>
        <v>0</v>
      </c>
      <c r="G322" s="380">
        <f t="shared" si="51"/>
        <v>0</v>
      </c>
      <c r="H322" s="380">
        <f t="shared" si="51"/>
        <v>0</v>
      </c>
      <c r="I322" s="666">
        <f t="shared" si="51"/>
        <v>167.83333333333334</v>
      </c>
      <c r="J322" s="380">
        <f>+C322+D322+E322+F322+G322+H322+I322</f>
        <v>16194.857142857143</v>
      </c>
    </row>
    <row r="323" spans="2:10" x14ac:dyDescent="0.25">
      <c r="B323" s="577"/>
      <c r="C323" s="387"/>
      <c r="D323" s="387"/>
      <c r="E323" s="387"/>
      <c r="F323" s="387"/>
      <c r="G323" s="387"/>
      <c r="H323" s="664"/>
      <c r="I323" s="388"/>
      <c r="J323" s="387"/>
    </row>
    <row r="324" spans="2:10" x14ac:dyDescent="0.25">
      <c r="B324" s="577" t="s">
        <v>89</v>
      </c>
      <c r="C324" s="387">
        <f>+'C-SH-6A ConsCombFloPesq,04-21'!C325/42</f>
        <v>747.61904761904759</v>
      </c>
      <c r="D324" s="387">
        <f>+'C-SH-6A ConsCombFloPesq,04-21'!D325/42</f>
        <v>7150.8571428571431</v>
      </c>
      <c r="E324" s="387">
        <f>+'C-SH-6A ConsCombFloPesq,04-21'!E325/42</f>
        <v>0</v>
      </c>
      <c r="F324" s="387">
        <f>+'C-SH-6A ConsCombFloPesq,04-21'!F325/42</f>
        <v>0</v>
      </c>
      <c r="G324" s="387">
        <f>+'C-SH-6A ConsCombFloPesq,04-21'!G325/42</f>
        <v>0</v>
      </c>
      <c r="H324" s="663">
        <f>+'C-SH-6A ConsCombFloPesq,04-21'!H325/42</f>
        <v>0</v>
      </c>
      <c r="I324" s="388">
        <f>+'C-SH-6A ConsCombFloPesq,04-21'!I325/42</f>
        <v>0.61904761904761907</v>
      </c>
      <c r="J324" s="387">
        <f>+'C-SH-6A ConsCombFloPesq,04-21'!J325/42</f>
        <v>7899.0952380952385</v>
      </c>
    </row>
    <row r="325" spans="2:10" x14ac:dyDescent="0.25">
      <c r="B325" s="577" t="s">
        <v>90</v>
      </c>
      <c r="C325" s="387">
        <f>+'C-SH-6A ConsCombFloPesq,04-21'!C326/42</f>
        <v>373.8095238095238</v>
      </c>
      <c r="D325" s="387">
        <f>+'C-SH-6A ConsCombFloPesq,04-21'!D326/42</f>
        <v>5075.9285714285716</v>
      </c>
      <c r="E325" s="387">
        <f>+'C-SH-6A ConsCombFloPesq,04-21'!E326/42</f>
        <v>0</v>
      </c>
      <c r="F325" s="387">
        <f>+'C-SH-6A ConsCombFloPesq,04-21'!F326/42</f>
        <v>0</v>
      </c>
      <c r="G325" s="387">
        <f>+'C-SH-6A ConsCombFloPesq,04-21'!G326/42</f>
        <v>0</v>
      </c>
      <c r="H325" s="663">
        <f>+'C-SH-6A ConsCombFloPesq,04-21'!H326/42</f>
        <v>0</v>
      </c>
      <c r="I325" s="388">
        <f>+'C-SH-6A ConsCombFloPesq,04-21'!I326/42</f>
        <v>5.5476190476190474</v>
      </c>
      <c r="J325" s="387">
        <f>+'C-SH-6A ConsCombFloPesq,04-21'!J326/42</f>
        <v>5455.2857142857147</v>
      </c>
    </row>
    <row r="326" spans="2:10" x14ac:dyDescent="0.25">
      <c r="B326" s="577" t="s">
        <v>91</v>
      </c>
      <c r="C326" s="387">
        <f>+'C-SH-6A ConsCombFloPesq,04-21'!C327/42</f>
        <v>76.19047619047619</v>
      </c>
      <c r="D326" s="387">
        <f>+'C-SH-6A ConsCombFloPesq,04-21'!D327/42</f>
        <v>9033.5952380952385</v>
      </c>
      <c r="E326" s="387">
        <f>+'C-SH-6A ConsCombFloPesq,04-21'!E327/42</f>
        <v>0</v>
      </c>
      <c r="F326" s="387">
        <f>+'C-SH-6A ConsCombFloPesq,04-21'!F327/42</f>
        <v>0</v>
      </c>
      <c r="G326" s="387">
        <f>+'C-SH-6A ConsCombFloPesq,04-21'!G327/42</f>
        <v>0</v>
      </c>
      <c r="H326" s="663">
        <f>+'C-SH-6A ConsCombFloPesq,04-21'!H327/42</f>
        <v>0</v>
      </c>
      <c r="I326" s="388">
        <f>+'C-SH-6A ConsCombFloPesq,04-21'!I327/42</f>
        <v>5.6190476190476186</v>
      </c>
      <c r="J326" s="387">
        <f>+'C-SH-6A ConsCombFloPesq,04-21'!J327/42</f>
        <v>9115.4047619047615</v>
      </c>
    </row>
    <row r="327" spans="2:10" ht="15.6" x14ac:dyDescent="0.25">
      <c r="B327" s="570" t="s">
        <v>139</v>
      </c>
      <c r="C327" s="380">
        <f t="shared" ref="C327:I327" si="52">SUM(C324:C326)</f>
        <v>1197.6190476190475</v>
      </c>
      <c r="D327" s="380">
        <f t="shared" si="52"/>
        <v>21260.380952380954</v>
      </c>
      <c r="E327" s="380">
        <f t="shared" si="52"/>
        <v>0</v>
      </c>
      <c r="F327" s="380">
        <f t="shared" si="52"/>
        <v>0</v>
      </c>
      <c r="G327" s="380">
        <f t="shared" si="52"/>
        <v>0</v>
      </c>
      <c r="H327" s="380">
        <f t="shared" si="52"/>
        <v>0</v>
      </c>
      <c r="I327" s="666">
        <f t="shared" si="52"/>
        <v>11.785714285714285</v>
      </c>
      <c r="J327" s="380">
        <f>+C327+D327+E327+F327+G327+H327+I327</f>
        <v>22469.785714285714</v>
      </c>
    </row>
    <row r="328" spans="2:10" x14ac:dyDescent="0.25">
      <c r="B328" s="577"/>
      <c r="C328" s="387"/>
      <c r="D328" s="387"/>
      <c r="E328" s="387"/>
      <c r="F328" s="387"/>
      <c r="G328" s="387"/>
      <c r="H328" s="664"/>
      <c r="I328" s="388"/>
      <c r="J328" s="387"/>
    </row>
    <row r="329" spans="2:10" x14ac:dyDescent="0.25">
      <c r="B329" s="577" t="s">
        <v>93</v>
      </c>
      <c r="C329" s="387">
        <f>+'C-SH-6A ConsCombFloPesq,04-21'!C330/42</f>
        <v>54.761904761904759</v>
      </c>
      <c r="D329" s="387">
        <f>+'C-SH-6A ConsCombFloPesq,04-21'!D330/42</f>
        <v>10502.095238095239</v>
      </c>
      <c r="E329" s="387">
        <f>+'C-SH-6A ConsCombFloPesq,04-21'!E330/42</f>
        <v>0</v>
      </c>
      <c r="F329" s="387">
        <f>+'C-SH-6A ConsCombFloPesq,04-21'!F330/42</f>
        <v>0</v>
      </c>
      <c r="G329" s="387">
        <f>+'C-SH-6A ConsCombFloPesq,04-21'!G330/42</f>
        <v>0</v>
      </c>
      <c r="H329" s="663">
        <f>+'C-SH-6A ConsCombFloPesq,04-21'!H330/42</f>
        <v>0</v>
      </c>
      <c r="I329" s="388">
        <f>+'C-SH-6A ConsCombFloPesq,04-21'!I330/42</f>
        <v>0.9285714285714286</v>
      </c>
      <c r="J329" s="387">
        <f>+'C-SH-6A ConsCombFloPesq,04-21'!J330/42</f>
        <v>10557.785714285714</v>
      </c>
    </row>
    <row r="330" spans="2:10" x14ac:dyDescent="0.25">
      <c r="B330" s="577" t="s">
        <v>94</v>
      </c>
      <c r="C330" s="387">
        <f>+'C-SH-6A ConsCombFloPesq,04-21'!C331/42</f>
        <v>26.19047619047619</v>
      </c>
      <c r="D330" s="387">
        <f>+'C-SH-6A ConsCombFloPesq,04-21'!D331/42</f>
        <v>7296.2857142857147</v>
      </c>
      <c r="E330" s="387">
        <f>+'C-SH-6A ConsCombFloPesq,04-21'!E331/42</f>
        <v>0</v>
      </c>
      <c r="F330" s="387">
        <f>+'C-SH-6A ConsCombFloPesq,04-21'!F331/42</f>
        <v>0</v>
      </c>
      <c r="G330" s="387">
        <f>+'C-SH-6A ConsCombFloPesq,04-21'!G331/42</f>
        <v>0</v>
      </c>
      <c r="H330" s="663">
        <f>+'C-SH-6A ConsCombFloPesq,04-21'!H331/42</f>
        <v>0</v>
      </c>
      <c r="I330" s="388">
        <f>+'C-SH-6A ConsCombFloPesq,04-21'!I331/42</f>
        <v>1.5</v>
      </c>
      <c r="J330" s="387">
        <f>+'C-SH-6A ConsCombFloPesq,04-21'!J331/42</f>
        <v>7323.9761904761908</v>
      </c>
    </row>
    <row r="331" spans="2:10" x14ac:dyDescent="0.25">
      <c r="B331" s="577" t="s">
        <v>101</v>
      </c>
      <c r="C331" s="387">
        <f>+'C-SH-6A ConsCombFloPesq,04-21'!C332/42</f>
        <v>82.142857142857139</v>
      </c>
      <c r="D331" s="387">
        <f>+'C-SH-6A ConsCombFloPesq,04-21'!D332/42</f>
        <v>4800.5238095238092</v>
      </c>
      <c r="E331" s="387">
        <f>+'C-SH-6A ConsCombFloPesq,04-21'!E332/42</f>
        <v>0</v>
      </c>
      <c r="F331" s="387">
        <f>+'C-SH-6A ConsCombFloPesq,04-21'!F332/42</f>
        <v>0</v>
      </c>
      <c r="G331" s="387">
        <f>+'C-SH-6A ConsCombFloPesq,04-21'!G332/42</f>
        <v>55.952380952380949</v>
      </c>
      <c r="H331" s="663">
        <f>+'C-SH-6A ConsCombFloPesq,04-21'!H332/42</f>
        <v>0</v>
      </c>
      <c r="I331" s="388">
        <f>+'C-SH-6A ConsCombFloPesq,04-21'!I332/42</f>
        <v>155.04761904761904</v>
      </c>
      <c r="J331" s="387">
        <f>+'C-SH-6A ConsCombFloPesq,04-21'!J332/42</f>
        <v>5093.666666666667</v>
      </c>
    </row>
    <row r="332" spans="2:10" ht="15.6" x14ac:dyDescent="0.25">
      <c r="B332" s="570" t="s">
        <v>140</v>
      </c>
      <c r="C332" s="380">
        <f t="shared" ref="C332:I332" si="53">SUM(C329:C331)</f>
        <v>163.09523809523807</v>
      </c>
      <c r="D332" s="380">
        <f t="shared" si="53"/>
        <v>22598.904761904763</v>
      </c>
      <c r="E332" s="380">
        <f t="shared" si="53"/>
        <v>0</v>
      </c>
      <c r="F332" s="380">
        <f t="shared" si="53"/>
        <v>0</v>
      </c>
      <c r="G332" s="380">
        <f t="shared" si="53"/>
        <v>55.952380952380949</v>
      </c>
      <c r="H332" s="380">
        <f t="shared" si="53"/>
        <v>0</v>
      </c>
      <c r="I332" s="666">
        <f t="shared" si="53"/>
        <v>157.47619047619045</v>
      </c>
      <c r="J332" s="380">
        <f>+C332+D332+E332+F332+G332+H332+I332</f>
        <v>22975.428571428572</v>
      </c>
    </row>
    <row r="333" spans="2:10" x14ac:dyDescent="0.25">
      <c r="B333" s="577"/>
      <c r="C333" s="387"/>
      <c r="D333" s="387"/>
      <c r="E333" s="387"/>
      <c r="F333" s="387"/>
      <c r="G333" s="387"/>
      <c r="H333" s="664"/>
      <c r="I333" s="388"/>
      <c r="J333" s="387"/>
    </row>
    <row r="334" spans="2:10" x14ac:dyDescent="0.25">
      <c r="B334" s="577" t="s">
        <v>95</v>
      </c>
      <c r="C334" s="387">
        <f>+'C-SH-6A ConsCombFloPesq,04-21'!C335/42</f>
        <v>78.571428571428569</v>
      </c>
      <c r="D334" s="387">
        <f>+'C-SH-6A ConsCombFloPesq,04-21'!D335/42</f>
        <v>13840</v>
      </c>
      <c r="E334" s="387">
        <f>+'C-SH-6A ConsCombFloPesq,04-21'!E335/42</f>
        <v>0</v>
      </c>
      <c r="F334" s="387">
        <f>+'C-SH-6A ConsCombFloPesq,04-21'!F335/42</f>
        <v>0</v>
      </c>
      <c r="G334" s="387">
        <f>+'C-SH-6A ConsCombFloPesq,04-21'!G335/42</f>
        <v>0</v>
      </c>
      <c r="H334" s="663">
        <f>+'C-SH-6A ConsCombFloPesq,04-21'!H335/42</f>
        <v>130.95238095238096</v>
      </c>
      <c r="I334" s="388">
        <f>+'C-SH-6A ConsCombFloPesq,04-21'!I335/42</f>
        <v>1.2142857142857142</v>
      </c>
      <c r="J334" s="387">
        <f>+'C-SH-6A ConsCombFloPesq,04-21'!J335/42</f>
        <v>14050.738095238095</v>
      </c>
    </row>
    <row r="335" spans="2:10" x14ac:dyDescent="0.25">
      <c r="B335" s="577" t="s">
        <v>96</v>
      </c>
      <c r="C335" s="387">
        <f>+'C-SH-6A ConsCombFloPesq,04-21'!C336/42</f>
        <v>71.428571428571431</v>
      </c>
      <c r="D335" s="387">
        <f>+'C-SH-6A ConsCombFloPesq,04-21'!D336/42</f>
        <v>6290.3571428571431</v>
      </c>
      <c r="E335" s="387">
        <f>+'C-SH-6A ConsCombFloPesq,04-21'!E336/42</f>
        <v>0</v>
      </c>
      <c r="F335" s="387">
        <f>+'C-SH-6A ConsCombFloPesq,04-21'!F336/42</f>
        <v>0</v>
      </c>
      <c r="G335" s="387">
        <f>+'C-SH-6A ConsCombFloPesq,04-21'!G336/42</f>
        <v>0</v>
      </c>
      <c r="H335" s="663">
        <f>+'C-SH-6A ConsCombFloPesq,04-21'!H336/42</f>
        <v>0</v>
      </c>
      <c r="I335" s="388">
        <f>+'C-SH-6A ConsCombFloPesq,04-21'!I336/42</f>
        <v>0.14285714285714285</v>
      </c>
      <c r="J335" s="387">
        <f>+'C-SH-6A ConsCombFloPesq,04-21'!J336/42</f>
        <v>6361.9285714285716</v>
      </c>
    </row>
    <row r="336" spans="2:10" x14ac:dyDescent="0.25">
      <c r="B336" s="577" t="s">
        <v>97</v>
      </c>
      <c r="C336" s="387">
        <f>+'C-SH-6A ConsCombFloPesq,04-21'!C337/42</f>
        <v>216.66666666666666</v>
      </c>
      <c r="D336" s="387">
        <f>+'C-SH-6A ConsCombFloPesq,04-21'!D337/42</f>
        <v>12419.380952380952</v>
      </c>
      <c r="E336" s="387">
        <f>+'C-SH-6A ConsCombFloPesq,04-21'!E337/42</f>
        <v>0</v>
      </c>
      <c r="F336" s="387">
        <f>+'C-SH-6A ConsCombFloPesq,04-21'!F337/42</f>
        <v>0</v>
      </c>
      <c r="G336" s="387">
        <f>+'C-SH-6A ConsCombFloPesq,04-21'!G337/42</f>
        <v>0</v>
      </c>
      <c r="H336" s="663">
        <f>+'C-SH-6A ConsCombFloPesq,04-21'!H337/42</f>
        <v>214.28571428571428</v>
      </c>
      <c r="I336" s="388">
        <f>+'C-SH-6A ConsCombFloPesq,04-21'!I337/42</f>
        <v>0</v>
      </c>
      <c r="J336" s="387">
        <f>+'C-SH-6A ConsCombFloPesq,04-21'!J337/42</f>
        <v>12850.333333333334</v>
      </c>
    </row>
    <row r="337" spans="2:10" ht="15.6" x14ac:dyDescent="0.25">
      <c r="B337" s="570" t="s">
        <v>141</v>
      </c>
      <c r="C337" s="380">
        <f t="shared" ref="C337:I337" si="54">SUM(C334:C336)</f>
        <v>366.66666666666663</v>
      </c>
      <c r="D337" s="380">
        <f t="shared" si="54"/>
        <v>32549.738095238099</v>
      </c>
      <c r="E337" s="380">
        <f t="shared" si="54"/>
        <v>0</v>
      </c>
      <c r="F337" s="380">
        <f t="shared" si="54"/>
        <v>0</v>
      </c>
      <c r="G337" s="380">
        <f t="shared" si="54"/>
        <v>0</v>
      </c>
      <c r="H337" s="380">
        <f t="shared" si="54"/>
        <v>345.23809523809524</v>
      </c>
      <c r="I337" s="666">
        <f t="shared" si="54"/>
        <v>1.357142857142857</v>
      </c>
      <c r="J337" s="380">
        <f>+C337+D337+E337+F337+G337+H337+I337</f>
        <v>33263</v>
      </c>
    </row>
    <row r="338" spans="2:10" ht="15.6" thickBot="1" x14ac:dyDescent="0.3">
      <c r="B338" s="593"/>
      <c r="C338" s="381"/>
      <c r="D338" s="381"/>
      <c r="E338" s="381"/>
      <c r="F338" s="381"/>
      <c r="G338" s="381"/>
      <c r="H338" s="665"/>
      <c r="I338" s="389"/>
      <c r="J338" s="381"/>
    </row>
    <row r="339" spans="2:10" x14ac:dyDescent="0.25">
      <c r="B339" s="14" t="s">
        <v>219</v>
      </c>
    </row>
    <row r="341" spans="2:10" ht="15.6" x14ac:dyDescent="0.25">
      <c r="B341" s="864" t="s">
        <v>191</v>
      </c>
      <c r="C341" s="864"/>
      <c r="D341" s="864"/>
      <c r="E341" s="864"/>
      <c r="F341" s="864"/>
      <c r="G341" s="864"/>
      <c r="H341" s="864"/>
    </row>
    <row r="342" spans="2:10" ht="15.6" x14ac:dyDescent="0.25">
      <c r="B342" s="864" t="s">
        <v>137</v>
      </c>
      <c r="C342" s="864"/>
      <c r="D342" s="864"/>
      <c r="E342" s="864"/>
      <c r="F342" s="864"/>
      <c r="G342" s="864"/>
      <c r="H342" s="864"/>
    </row>
    <row r="343" spans="2:10" ht="15.6" x14ac:dyDescent="0.25">
      <c r="B343" s="864">
        <v>2010</v>
      </c>
      <c r="C343" s="864"/>
      <c r="D343" s="864"/>
      <c r="E343" s="864"/>
      <c r="F343" s="864"/>
      <c r="G343" s="864"/>
      <c r="H343" s="864"/>
    </row>
    <row r="344" spans="2:10" ht="16.2" thickBot="1" x14ac:dyDescent="0.3">
      <c r="B344" s="929" t="s">
        <v>27</v>
      </c>
      <c r="C344" s="929"/>
      <c r="D344" s="929"/>
      <c r="E344" s="929"/>
      <c r="F344" s="929"/>
      <c r="G344" s="929"/>
      <c r="H344" s="929"/>
    </row>
    <row r="345" spans="2:10" ht="24.9" customHeight="1" thickBot="1" x14ac:dyDescent="0.3">
      <c r="B345" s="594" t="s">
        <v>100</v>
      </c>
      <c r="C345" s="595" t="s">
        <v>52</v>
      </c>
      <c r="D345" s="595" t="s">
        <v>123</v>
      </c>
      <c r="E345" s="595" t="s">
        <v>181</v>
      </c>
      <c r="F345" s="595" t="s">
        <v>131</v>
      </c>
      <c r="G345" s="595" t="s">
        <v>84</v>
      </c>
      <c r="H345" s="595" t="s">
        <v>78</v>
      </c>
    </row>
    <row r="346" spans="2:10" x14ac:dyDescent="0.25">
      <c r="B346" s="574"/>
      <c r="C346" s="377"/>
      <c r="D346" s="377"/>
      <c r="E346" s="378"/>
      <c r="F346" s="378"/>
      <c r="G346" s="378"/>
      <c r="H346" s="379"/>
    </row>
    <row r="347" spans="2:10" ht="15.6" x14ac:dyDescent="0.25">
      <c r="B347" s="570" t="s">
        <v>103</v>
      </c>
      <c r="C347" s="380">
        <f t="shared" ref="C347:H347" si="55">+C353+C358+C363+C368</f>
        <v>11513.095238095237</v>
      </c>
      <c r="D347" s="380">
        <f t="shared" si="55"/>
        <v>92340.71428571429</v>
      </c>
      <c r="E347" s="380">
        <f t="shared" si="55"/>
        <v>0</v>
      </c>
      <c r="F347" s="380">
        <f t="shared" si="55"/>
        <v>0</v>
      </c>
      <c r="G347" s="380">
        <f t="shared" si="55"/>
        <v>435.11904761904759</v>
      </c>
      <c r="H347" s="380">
        <f t="shared" si="55"/>
        <v>104288.92857142858</v>
      </c>
    </row>
    <row r="348" spans="2:10" ht="15.6" thickBot="1" x14ac:dyDescent="0.3">
      <c r="B348" s="593"/>
      <c r="C348" s="381"/>
      <c r="D348" s="381"/>
      <c r="E348" s="382"/>
      <c r="F348" s="382"/>
      <c r="G348" s="382"/>
      <c r="H348" s="383"/>
    </row>
    <row r="349" spans="2:10" x14ac:dyDescent="0.25">
      <c r="B349" s="579"/>
      <c r="C349" s="384"/>
      <c r="D349" s="384"/>
      <c r="E349" s="385"/>
      <c r="F349" s="385"/>
      <c r="G349" s="385"/>
      <c r="H349" s="386"/>
    </row>
    <row r="350" spans="2:10" x14ac:dyDescent="0.25">
      <c r="B350" s="577" t="s">
        <v>86</v>
      </c>
      <c r="C350" s="387">
        <f>+'C-SH-6A ConsCombFloPesq,04-21'!C351/42</f>
        <v>1202.3809523809523</v>
      </c>
      <c r="D350" s="387">
        <f>+'C-SH-6A ConsCombFloPesq,04-21'!D351/42</f>
        <v>3581.6428571428573</v>
      </c>
      <c r="E350" s="387">
        <f>+'C-SH-6A ConsCombFloPesq,04-21'!E351/42</f>
        <v>0</v>
      </c>
      <c r="F350" s="387">
        <f>+'C-SH-6A ConsCombFloPesq,04-21'!F351/42</f>
        <v>0</v>
      </c>
      <c r="G350" s="387">
        <f>+'C-SH-6A ConsCombFloPesq,04-21'!G351/42</f>
        <v>27.166666666666668</v>
      </c>
      <c r="H350" s="387">
        <f>+'C-SH-6A ConsCombFloPesq,04-21'!H351/42</f>
        <v>4811.1904761904761</v>
      </c>
    </row>
    <row r="351" spans="2:10" x14ac:dyDescent="0.25">
      <c r="B351" s="577" t="s">
        <v>87</v>
      </c>
      <c r="C351" s="387">
        <f>+'C-SH-6A ConsCombFloPesq,04-21'!C352/42</f>
        <v>1330.952380952381</v>
      </c>
      <c r="D351" s="387">
        <f>+'C-SH-6A ConsCombFloPesq,04-21'!D352/42</f>
        <v>3036.8571428571427</v>
      </c>
      <c r="E351" s="387">
        <f>+'C-SH-6A ConsCombFloPesq,04-21'!E352/42</f>
        <v>0</v>
      </c>
      <c r="F351" s="387">
        <f>+'C-SH-6A ConsCombFloPesq,04-21'!F352/42</f>
        <v>0</v>
      </c>
      <c r="G351" s="387">
        <f>+'C-SH-6A ConsCombFloPesq,04-21'!G352/42</f>
        <v>27.976190476190474</v>
      </c>
      <c r="H351" s="387">
        <f>+'C-SH-6A ConsCombFloPesq,04-21'!H352/42</f>
        <v>4395.7857142857147</v>
      </c>
    </row>
    <row r="352" spans="2:10" x14ac:dyDescent="0.25">
      <c r="B352" s="577" t="s">
        <v>88</v>
      </c>
      <c r="C352" s="387">
        <f>+'C-SH-6A ConsCombFloPesq,04-21'!C353/42</f>
        <v>1461.9047619047619</v>
      </c>
      <c r="D352" s="387">
        <f>+'C-SH-6A ConsCombFloPesq,04-21'!D353/42</f>
        <v>2516.5238095238096</v>
      </c>
      <c r="E352" s="387">
        <f>+'C-SH-6A ConsCombFloPesq,04-21'!E353/42</f>
        <v>0</v>
      </c>
      <c r="F352" s="387">
        <f>+'C-SH-6A ConsCombFloPesq,04-21'!F353/42</f>
        <v>0</v>
      </c>
      <c r="G352" s="387">
        <f>+'C-SH-6A ConsCombFloPesq,04-21'!G353/42</f>
        <v>20.69047619047619</v>
      </c>
      <c r="H352" s="387">
        <f>+'C-SH-6A ConsCombFloPesq,04-21'!H353/42</f>
        <v>3999.1190476190477</v>
      </c>
    </row>
    <row r="353" spans="2:8" ht="15.6" x14ac:dyDescent="0.25">
      <c r="B353" s="570" t="s">
        <v>138</v>
      </c>
      <c r="C353" s="380">
        <f>SUM(C350:C352)</f>
        <v>3995.238095238095</v>
      </c>
      <c r="D353" s="380">
        <f>SUM(D350:D352)</f>
        <v>9135.0238095238092</v>
      </c>
      <c r="E353" s="380">
        <f>SUM(E350:E352)</f>
        <v>0</v>
      </c>
      <c r="F353" s="380">
        <f>SUM(F350:F352)</f>
        <v>0</v>
      </c>
      <c r="G353" s="380">
        <f>SUM(G350:G352)</f>
        <v>75.833333333333329</v>
      </c>
      <c r="H353" s="380">
        <f>+C353+D353+E353+F353+G353</f>
        <v>13206.095238095239</v>
      </c>
    </row>
    <row r="354" spans="2:8" x14ac:dyDescent="0.25">
      <c r="B354" s="577"/>
      <c r="C354" s="387"/>
      <c r="D354" s="387"/>
      <c r="E354" s="387"/>
      <c r="F354" s="387"/>
      <c r="G354" s="387"/>
      <c r="H354" s="388"/>
    </row>
    <row r="355" spans="2:8" x14ac:dyDescent="0.25">
      <c r="B355" s="577" t="s">
        <v>89</v>
      </c>
      <c r="C355" s="387">
        <f>+'C-SH-6A ConsCombFloPesq,04-21'!C356/42</f>
        <v>1139.2857142857142</v>
      </c>
      <c r="D355" s="387">
        <f>+'C-SH-6A ConsCombFloPesq,04-21'!D356/42</f>
        <v>9414.3571428571431</v>
      </c>
      <c r="E355" s="387">
        <f>+'C-SH-6A ConsCombFloPesq,04-21'!E356/42</f>
        <v>0</v>
      </c>
      <c r="F355" s="387">
        <f>+'C-SH-6A ConsCombFloPesq,04-21'!F356/42</f>
        <v>0</v>
      </c>
      <c r="G355" s="387">
        <f>+'C-SH-6A ConsCombFloPesq,04-21'!G356/42</f>
        <v>0.5714285714285714</v>
      </c>
      <c r="H355" s="387">
        <f>+'C-SH-6A ConsCombFloPesq,04-21'!H356/42</f>
        <v>10554.214285714286</v>
      </c>
    </row>
    <row r="356" spans="2:8" x14ac:dyDescent="0.25">
      <c r="B356" s="577" t="s">
        <v>90</v>
      </c>
      <c r="C356" s="387">
        <f>+'C-SH-6A ConsCombFloPesq,04-21'!C357/42</f>
        <v>704.76190476190482</v>
      </c>
      <c r="D356" s="387">
        <f>+'C-SH-6A ConsCombFloPesq,04-21'!D357/42</f>
        <v>8764.9047619047615</v>
      </c>
      <c r="E356" s="387">
        <f>+'C-SH-6A ConsCombFloPesq,04-21'!E357/42</f>
        <v>0</v>
      </c>
      <c r="F356" s="387">
        <f>+'C-SH-6A ConsCombFloPesq,04-21'!F357/42</f>
        <v>0</v>
      </c>
      <c r="G356" s="387">
        <f>+'C-SH-6A ConsCombFloPesq,04-21'!G357/42</f>
        <v>148.16666666666666</v>
      </c>
      <c r="H356" s="387">
        <f>+'C-SH-6A ConsCombFloPesq,04-21'!H357/42</f>
        <v>9617.8333333333339</v>
      </c>
    </row>
    <row r="357" spans="2:8" x14ac:dyDescent="0.25">
      <c r="B357" s="577" t="s">
        <v>91</v>
      </c>
      <c r="C357" s="387">
        <f>+'C-SH-6A ConsCombFloPesq,04-21'!C358/42</f>
        <v>833.33333333333337</v>
      </c>
      <c r="D357" s="387">
        <f>+'C-SH-6A ConsCombFloPesq,04-21'!D358/42</f>
        <v>10765.119047619048</v>
      </c>
      <c r="E357" s="387">
        <f>+'C-SH-6A ConsCombFloPesq,04-21'!E358/42</f>
        <v>0</v>
      </c>
      <c r="F357" s="387">
        <f>+'C-SH-6A ConsCombFloPesq,04-21'!F358/42</f>
        <v>0</v>
      </c>
      <c r="G357" s="387">
        <f>+'C-SH-6A ConsCombFloPesq,04-21'!G358/42</f>
        <v>24.38095238095238</v>
      </c>
      <c r="H357" s="387">
        <f>+'C-SH-6A ConsCombFloPesq,04-21'!H358/42</f>
        <v>11622.833333333334</v>
      </c>
    </row>
    <row r="358" spans="2:8" ht="15.6" x14ac:dyDescent="0.25">
      <c r="B358" s="570" t="s">
        <v>139</v>
      </c>
      <c r="C358" s="380">
        <f>SUM(C355:C357)</f>
        <v>2677.3809523809523</v>
      </c>
      <c r="D358" s="380">
        <f>SUM(D355:D357)</f>
        <v>28944.380952380954</v>
      </c>
      <c r="E358" s="380">
        <f>SUM(E355:E357)</f>
        <v>0</v>
      </c>
      <c r="F358" s="380">
        <f>SUM(F355:F357)</f>
        <v>0</v>
      </c>
      <c r="G358" s="380">
        <f>SUM(G355:G357)</f>
        <v>173.11904761904762</v>
      </c>
      <c r="H358" s="380">
        <f>+C358+D358+E358+F358+G358</f>
        <v>31794.880952380954</v>
      </c>
    </row>
    <row r="359" spans="2:8" x14ac:dyDescent="0.25">
      <c r="B359" s="577"/>
      <c r="C359" s="387"/>
      <c r="D359" s="387"/>
      <c r="E359" s="387"/>
      <c r="F359" s="387"/>
      <c r="G359" s="387"/>
      <c r="H359" s="388"/>
    </row>
    <row r="360" spans="2:8" x14ac:dyDescent="0.25">
      <c r="B360" s="577" t="s">
        <v>93</v>
      </c>
      <c r="C360" s="387">
        <f>+'C-SH-6A ConsCombFloPesq,04-21'!C361/42</f>
        <v>869.04761904761904</v>
      </c>
      <c r="D360" s="387">
        <f>+'C-SH-6A ConsCombFloPesq,04-21'!D361/42</f>
        <v>7301.7857142857147</v>
      </c>
      <c r="E360" s="387">
        <f>+'C-SH-6A ConsCombFloPesq,04-21'!E361/42</f>
        <v>0</v>
      </c>
      <c r="F360" s="387">
        <f>+'C-SH-6A ConsCombFloPesq,04-21'!F361/42</f>
        <v>0</v>
      </c>
      <c r="G360" s="387">
        <f>+'C-SH-6A ConsCombFloPesq,04-21'!G361/42</f>
        <v>5.7142857142857144</v>
      </c>
      <c r="H360" s="387">
        <f>+'C-SH-6A ConsCombFloPesq,04-21'!H361/42</f>
        <v>8176.5476190476193</v>
      </c>
    </row>
    <row r="361" spans="2:8" x14ac:dyDescent="0.25">
      <c r="B361" s="577" t="s">
        <v>94</v>
      </c>
      <c r="C361" s="387">
        <f>+'C-SH-6A ConsCombFloPesq,04-21'!C362/42</f>
        <v>814.28571428571433</v>
      </c>
      <c r="D361" s="387">
        <f>+'C-SH-6A ConsCombFloPesq,04-21'!D362/42</f>
        <v>7671.5714285714284</v>
      </c>
      <c r="E361" s="387">
        <f>+'C-SH-6A ConsCombFloPesq,04-21'!E362/42</f>
        <v>0</v>
      </c>
      <c r="F361" s="387">
        <f>+'C-SH-6A ConsCombFloPesq,04-21'!F362/42</f>
        <v>0</v>
      </c>
      <c r="G361" s="387">
        <f>+'C-SH-6A ConsCombFloPesq,04-21'!G362/42</f>
        <v>0.5714285714285714</v>
      </c>
      <c r="H361" s="387">
        <f>+'C-SH-6A ConsCombFloPesq,04-21'!H362/42</f>
        <v>8486.4285714285706</v>
      </c>
    </row>
    <row r="362" spans="2:8" x14ac:dyDescent="0.25">
      <c r="B362" s="577" t="s">
        <v>101</v>
      </c>
      <c r="C362" s="387">
        <f>+'C-SH-6A ConsCombFloPesq,04-21'!C363/42</f>
        <v>619.04761904761904</v>
      </c>
      <c r="D362" s="387">
        <f>+'C-SH-6A ConsCombFloPesq,04-21'!D363/42</f>
        <v>1831.047619047619</v>
      </c>
      <c r="E362" s="387">
        <f>+'C-SH-6A ConsCombFloPesq,04-21'!E363/42</f>
        <v>0</v>
      </c>
      <c r="F362" s="387">
        <f>+'C-SH-6A ConsCombFloPesq,04-21'!F363/42</f>
        <v>0</v>
      </c>
      <c r="G362" s="387">
        <f>+'C-SH-6A ConsCombFloPesq,04-21'!G363/42</f>
        <v>0</v>
      </c>
      <c r="H362" s="387">
        <f>+'C-SH-6A ConsCombFloPesq,04-21'!H363/42</f>
        <v>2450.0952380952381</v>
      </c>
    </row>
    <row r="363" spans="2:8" ht="15.6" x14ac:dyDescent="0.25">
      <c r="B363" s="570" t="s">
        <v>140</v>
      </c>
      <c r="C363" s="380">
        <f>SUM(C360:C362)</f>
        <v>2302.3809523809523</v>
      </c>
      <c r="D363" s="380">
        <f>SUM(D360:D362)</f>
        <v>16804.404761904763</v>
      </c>
      <c r="E363" s="380">
        <f>SUM(E360:E362)</f>
        <v>0</v>
      </c>
      <c r="F363" s="380">
        <f>SUM(F360:F362)</f>
        <v>0</v>
      </c>
      <c r="G363" s="380">
        <f>SUM(G360:G362)</f>
        <v>6.2857142857142856</v>
      </c>
      <c r="H363" s="380">
        <f>+C363+D363+E363+F363+G363</f>
        <v>19113.071428571431</v>
      </c>
    </row>
    <row r="364" spans="2:8" x14ac:dyDescent="0.25">
      <c r="B364" s="577"/>
      <c r="C364" s="387"/>
      <c r="D364" s="387"/>
      <c r="E364" s="387"/>
      <c r="F364" s="387"/>
      <c r="G364" s="387"/>
      <c r="H364" s="388"/>
    </row>
    <row r="365" spans="2:8" x14ac:dyDescent="0.25">
      <c r="B365" s="577" t="s">
        <v>95</v>
      </c>
      <c r="C365" s="387">
        <f>+'C-SH-6A ConsCombFloPesq,04-21'!C366/42</f>
        <v>766.66666666666663</v>
      </c>
      <c r="D365" s="387">
        <f>+'C-SH-6A ConsCombFloPesq,04-21'!D366/42</f>
        <v>12168.809523809523</v>
      </c>
      <c r="E365" s="387">
        <f>+'C-SH-6A ConsCombFloPesq,04-21'!E366/42</f>
        <v>0</v>
      </c>
      <c r="F365" s="387">
        <f>+'C-SH-6A ConsCombFloPesq,04-21'!F366/42</f>
        <v>0</v>
      </c>
      <c r="G365" s="387">
        <f>+'C-SH-6A ConsCombFloPesq,04-21'!G366/42</f>
        <v>24.166666666666668</v>
      </c>
      <c r="H365" s="387">
        <f>+'C-SH-6A ConsCombFloPesq,04-21'!H366/42</f>
        <v>12959.642857142857</v>
      </c>
    </row>
    <row r="366" spans="2:8" x14ac:dyDescent="0.25">
      <c r="B366" s="577" t="s">
        <v>96</v>
      </c>
      <c r="C366" s="387">
        <f>+'C-SH-6A ConsCombFloPesq,04-21'!C367/42</f>
        <v>876.19047619047615</v>
      </c>
      <c r="D366" s="387">
        <f>+'C-SH-6A ConsCombFloPesq,04-21'!D367/42</f>
        <v>11941</v>
      </c>
      <c r="E366" s="387">
        <f>+'C-SH-6A ConsCombFloPesq,04-21'!E367/42</f>
        <v>0</v>
      </c>
      <c r="F366" s="387">
        <f>+'C-SH-6A ConsCombFloPesq,04-21'!F367/42</f>
        <v>0</v>
      </c>
      <c r="G366" s="387">
        <f>+'C-SH-6A ConsCombFloPesq,04-21'!G367/42</f>
        <v>13.095238095238095</v>
      </c>
      <c r="H366" s="387">
        <f>+'C-SH-6A ConsCombFloPesq,04-21'!H367/42</f>
        <v>12830.285714285714</v>
      </c>
    </row>
    <row r="367" spans="2:8" x14ac:dyDescent="0.25">
      <c r="B367" s="577" t="s">
        <v>97</v>
      </c>
      <c r="C367" s="387">
        <f>+'C-SH-6A ConsCombFloPesq,04-21'!C368/42</f>
        <v>895.23809523809518</v>
      </c>
      <c r="D367" s="387">
        <f>+'C-SH-6A ConsCombFloPesq,04-21'!D368/42</f>
        <v>13347.095238095239</v>
      </c>
      <c r="E367" s="387">
        <f>+'C-SH-6A ConsCombFloPesq,04-21'!E368/42</f>
        <v>0</v>
      </c>
      <c r="F367" s="387">
        <f>+'C-SH-6A ConsCombFloPesq,04-21'!F368/42</f>
        <v>0</v>
      </c>
      <c r="G367" s="387">
        <f>+'C-SH-6A ConsCombFloPesq,04-21'!G368/42</f>
        <v>142.61904761904762</v>
      </c>
      <c r="H367" s="387">
        <f>+'C-SH-6A ConsCombFloPesq,04-21'!H368/42</f>
        <v>14384.952380952382</v>
      </c>
    </row>
    <row r="368" spans="2:8" ht="15.6" x14ac:dyDescent="0.25">
      <c r="B368" s="570" t="s">
        <v>141</v>
      </c>
      <c r="C368" s="380">
        <f>SUM(C365:C367)</f>
        <v>2538.0952380952376</v>
      </c>
      <c r="D368" s="380">
        <f>SUM(D365:D367)</f>
        <v>37456.904761904763</v>
      </c>
      <c r="E368" s="380">
        <f>SUM(E365:E367)</f>
        <v>0</v>
      </c>
      <c r="F368" s="380">
        <f>SUM(F365:F367)</f>
        <v>0</v>
      </c>
      <c r="G368" s="380">
        <f>SUM(G365:G367)</f>
        <v>179.88095238095238</v>
      </c>
      <c r="H368" s="380">
        <f>+C368+D368+E368+F368+G368</f>
        <v>40174.880952380954</v>
      </c>
    </row>
    <row r="369" spans="2:8" ht="15.6" thickBot="1" x14ac:dyDescent="0.3">
      <c r="B369" s="593"/>
      <c r="C369" s="381"/>
      <c r="D369" s="381"/>
      <c r="E369" s="381"/>
      <c r="F369" s="381"/>
      <c r="G369" s="381"/>
      <c r="H369" s="389"/>
    </row>
    <row r="370" spans="2:8" x14ac:dyDescent="0.25">
      <c r="B370" s="14" t="s">
        <v>219</v>
      </c>
    </row>
    <row r="372" spans="2:8" ht="15.6" x14ac:dyDescent="0.25">
      <c r="B372" s="864" t="s">
        <v>191</v>
      </c>
      <c r="C372" s="864"/>
      <c r="D372" s="864"/>
      <c r="E372" s="864"/>
      <c r="F372" s="864"/>
      <c r="G372" s="864"/>
      <c r="H372" s="864"/>
    </row>
    <row r="373" spans="2:8" ht="15.6" x14ac:dyDescent="0.25">
      <c r="B373" s="864" t="s">
        <v>137</v>
      </c>
      <c r="C373" s="864"/>
      <c r="D373" s="864"/>
      <c r="E373" s="864"/>
      <c r="F373" s="864"/>
      <c r="G373" s="864"/>
      <c r="H373" s="864"/>
    </row>
    <row r="374" spans="2:8" ht="15.6" x14ac:dyDescent="0.25">
      <c r="B374" s="864">
        <v>2009</v>
      </c>
      <c r="C374" s="864"/>
      <c r="D374" s="864"/>
      <c r="E374" s="864"/>
      <c r="F374" s="864"/>
      <c r="G374" s="864"/>
      <c r="H374" s="864"/>
    </row>
    <row r="375" spans="2:8" ht="16.2" thickBot="1" x14ac:dyDescent="0.3">
      <c r="B375" s="929" t="s">
        <v>27</v>
      </c>
      <c r="C375" s="929"/>
      <c r="D375" s="929"/>
      <c r="E375" s="929"/>
      <c r="F375" s="929"/>
      <c r="G375" s="929"/>
      <c r="H375" s="929"/>
    </row>
    <row r="376" spans="2:8" ht="24.9" customHeight="1" thickBot="1" x14ac:dyDescent="0.3">
      <c r="B376" s="594" t="s">
        <v>100</v>
      </c>
      <c r="C376" s="595" t="s">
        <v>52</v>
      </c>
      <c r="D376" s="595" t="s">
        <v>123</v>
      </c>
      <c r="E376" s="595" t="s">
        <v>181</v>
      </c>
      <c r="F376" s="595" t="s">
        <v>131</v>
      </c>
      <c r="G376" s="595" t="s">
        <v>84</v>
      </c>
      <c r="H376" s="595" t="s">
        <v>78</v>
      </c>
    </row>
    <row r="377" spans="2:8" x14ac:dyDescent="0.25">
      <c r="B377" s="574"/>
      <c r="C377" s="377"/>
      <c r="D377" s="377"/>
      <c r="E377" s="378"/>
      <c r="F377" s="378"/>
      <c r="G377" s="378"/>
      <c r="H377" s="379"/>
    </row>
    <row r="378" spans="2:8" ht="15.6" x14ac:dyDescent="0.25">
      <c r="B378" s="570" t="s">
        <v>103</v>
      </c>
      <c r="C378" s="380">
        <f t="shared" ref="C378:H378" si="56">+C384+C389+C394+C399</f>
        <v>14782.619047619048</v>
      </c>
      <c r="D378" s="380">
        <f t="shared" si="56"/>
        <v>77902.07142857142</v>
      </c>
      <c r="E378" s="380">
        <f t="shared" si="56"/>
        <v>0</v>
      </c>
      <c r="F378" s="380">
        <f t="shared" si="56"/>
        <v>71.428571428571431</v>
      </c>
      <c r="G378" s="380">
        <f t="shared" si="56"/>
        <v>479.39309523809521</v>
      </c>
      <c r="H378" s="380">
        <f t="shared" si="56"/>
        <v>93235.512142857158</v>
      </c>
    </row>
    <row r="379" spans="2:8" ht="15.6" thickBot="1" x14ac:dyDescent="0.3">
      <c r="B379" s="593"/>
      <c r="C379" s="381"/>
      <c r="D379" s="381"/>
      <c r="E379" s="382"/>
      <c r="F379" s="382"/>
      <c r="G379" s="382"/>
      <c r="H379" s="383"/>
    </row>
    <row r="380" spans="2:8" x14ac:dyDescent="0.25">
      <c r="B380" s="579"/>
      <c r="C380" s="384"/>
      <c r="D380" s="384"/>
      <c r="E380" s="385"/>
      <c r="F380" s="385"/>
      <c r="G380" s="385"/>
      <c r="H380" s="386"/>
    </row>
    <row r="381" spans="2:8" x14ac:dyDescent="0.25">
      <c r="B381" s="577" t="s">
        <v>86</v>
      </c>
      <c r="C381" s="387">
        <f>+'C-SH-6A ConsCombFloPesq,04-21'!C382/42</f>
        <v>1616.6666666666667</v>
      </c>
      <c r="D381" s="387">
        <f>+'C-SH-6A ConsCombFloPesq,04-21'!D382/42</f>
        <v>3504.2380952380954</v>
      </c>
      <c r="E381" s="387">
        <f>+'C-SH-6A ConsCombFloPesq,04-21'!E382/42</f>
        <v>0</v>
      </c>
      <c r="F381" s="387">
        <f>+'C-SH-6A ConsCombFloPesq,04-21'!F382/42</f>
        <v>47.61904761904762</v>
      </c>
      <c r="G381" s="387">
        <f>+'C-SH-6A ConsCombFloPesq,04-21'!G382/42</f>
        <v>23.148809523809526</v>
      </c>
      <c r="H381" s="387">
        <f>+'C-SH-6A ConsCombFloPesq,04-21'!H382/42</f>
        <v>5191.6726190476193</v>
      </c>
    </row>
    <row r="382" spans="2:8" x14ac:dyDescent="0.25">
      <c r="B382" s="577" t="s">
        <v>87</v>
      </c>
      <c r="C382" s="387">
        <f>+'C-SH-6A ConsCombFloPesq,04-21'!C383/42</f>
        <v>1136.6666666666667</v>
      </c>
      <c r="D382" s="387">
        <f>+'C-SH-6A ConsCombFloPesq,04-21'!D383/42</f>
        <v>4973.0238095238092</v>
      </c>
      <c r="E382" s="387">
        <f>+'C-SH-6A ConsCombFloPesq,04-21'!E383/42</f>
        <v>0</v>
      </c>
      <c r="F382" s="387">
        <f>+'C-SH-6A ConsCombFloPesq,04-21'!F383/42</f>
        <v>0</v>
      </c>
      <c r="G382" s="387">
        <f>+'C-SH-6A ConsCombFloPesq,04-21'!G383/42</f>
        <v>9.6342857142857135</v>
      </c>
      <c r="H382" s="387">
        <f>+'C-SH-6A ConsCombFloPesq,04-21'!H383/42</f>
        <v>6119.3247619047625</v>
      </c>
    </row>
    <row r="383" spans="2:8" x14ac:dyDescent="0.25">
      <c r="B383" s="577" t="s">
        <v>88</v>
      </c>
      <c r="C383" s="387">
        <f>+'C-SH-6A ConsCombFloPesq,04-21'!C384/42</f>
        <v>1329.7619047619048</v>
      </c>
      <c r="D383" s="387">
        <f>+'C-SH-6A ConsCombFloPesq,04-21'!D384/42</f>
        <v>3177.1904761904761</v>
      </c>
      <c r="E383" s="387">
        <f>+'C-SH-6A ConsCombFloPesq,04-21'!E384/42</f>
        <v>0</v>
      </c>
      <c r="F383" s="387">
        <f>+'C-SH-6A ConsCombFloPesq,04-21'!F384/42</f>
        <v>0</v>
      </c>
      <c r="G383" s="387">
        <f>+'C-SH-6A ConsCombFloPesq,04-21'!G384/42</f>
        <v>32.928571428571431</v>
      </c>
      <c r="H383" s="387">
        <f>+'C-SH-6A ConsCombFloPesq,04-21'!H384/42</f>
        <v>4539.8809523809523</v>
      </c>
    </row>
    <row r="384" spans="2:8" ht="15.6" x14ac:dyDescent="0.25">
      <c r="B384" s="570" t="s">
        <v>138</v>
      </c>
      <c r="C384" s="380">
        <f>SUM(C381:C383)</f>
        <v>4083.0952380952385</v>
      </c>
      <c r="D384" s="380">
        <f>SUM(D381:D383)</f>
        <v>11654.452380952382</v>
      </c>
      <c r="E384" s="380">
        <f>SUM(E381:E383)</f>
        <v>0</v>
      </c>
      <c r="F384" s="380">
        <f>SUM(F381:F383)</f>
        <v>47.61904761904762</v>
      </c>
      <c r="G384" s="380">
        <f>SUM(G381:G383)</f>
        <v>65.711666666666673</v>
      </c>
      <c r="H384" s="380">
        <f>+C384+D384+E384+F384+G384</f>
        <v>15850.878333333334</v>
      </c>
    </row>
    <row r="385" spans="2:8" x14ac:dyDescent="0.25">
      <c r="B385" s="577"/>
      <c r="C385" s="387"/>
      <c r="D385" s="387"/>
      <c r="E385" s="387"/>
      <c r="F385" s="387"/>
      <c r="G385" s="387"/>
      <c r="H385" s="388"/>
    </row>
    <row r="386" spans="2:8" x14ac:dyDescent="0.25">
      <c r="B386" s="577" t="s">
        <v>89</v>
      </c>
      <c r="C386" s="387">
        <f>+'C-SH-6A ConsCombFloPesq,04-21'!C387/42</f>
        <v>1069.047619047619</v>
      </c>
      <c r="D386" s="387">
        <f>+'C-SH-6A ConsCombFloPesq,04-21'!D387/42</f>
        <v>13964.333333333334</v>
      </c>
      <c r="E386" s="387">
        <f>+'C-SH-6A ConsCombFloPesq,04-21'!E387/42</f>
        <v>0</v>
      </c>
      <c r="F386" s="387">
        <f>+'C-SH-6A ConsCombFloPesq,04-21'!F387/42</f>
        <v>0</v>
      </c>
      <c r="G386" s="387">
        <f>+'C-SH-6A ConsCombFloPesq,04-21'!G387/42</f>
        <v>55.202380952380949</v>
      </c>
      <c r="H386" s="387">
        <f>+'C-SH-6A ConsCombFloPesq,04-21'!H387/42</f>
        <v>15088.583333333334</v>
      </c>
    </row>
    <row r="387" spans="2:8" x14ac:dyDescent="0.25">
      <c r="B387" s="577" t="s">
        <v>90</v>
      </c>
      <c r="C387" s="387">
        <f>+'C-SH-6A ConsCombFloPesq,04-21'!C388/42</f>
        <v>1311.9047619047619</v>
      </c>
      <c r="D387" s="387">
        <f>+'C-SH-6A ConsCombFloPesq,04-21'!D388/42</f>
        <v>10752.357142857143</v>
      </c>
      <c r="E387" s="387">
        <f>+'C-SH-6A ConsCombFloPesq,04-21'!E388/42</f>
        <v>0</v>
      </c>
      <c r="F387" s="387">
        <f>+'C-SH-6A ConsCombFloPesq,04-21'!F388/42</f>
        <v>0</v>
      </c>
      <c r="G387" s="387">
        <f>+'C-SH-6A ConsCombFloPesq,04-21'!G388/42</f>
        <v>60.761904761904759</v>
      </c>
      <c r="H387" s="387">
        <f>+'C-SH-6A ConsCombFloPesq,04-21'!H388/42</f>
        <v>12125.023809523809</v>
      </c>
    </row>
    <row r="388" spans="2:8" x14ac:dyDescent="0.25">
      <c r="B388" s="577" t="s">
        <v>91</v>
      </c>
      <c r="C388" s="387">
        <f>+'C-SH-6A ConsCombFloPesq,04-21'!C389/42</f>
        <v>982.85714285714289</v>
      </c>
      <c r="D388" s="387">
        <f>+'C-SH-6A ConsCombFloPesq,04-21'!D389/42</f>
        <v>8003.1190476190477</v>
      </c>
      <c r="E388" s="387">
        <f>+'C-SH-6A ConsCombFloPesq,04-21'!E389/42</f>
        <v>0</v>
      </c>
      <c r="F388" s="387">
        <f>+'C-SH-6A ConsCombFloPesq,04-21'!F389/42</f>
        <v>0</v>
      </c>
      <c r="G388" s="387">
        <f>+'C-SH-6A ConsCombFloPesq,04-21'!G389/42</f>
        <v>49.971666666666664</v>
      </c>
      <c r="H388" s="387">
        <f>+'C-SH-6A ConsCombFloPesq,04-21'!H389/42</f>
        <v>9035.9478571428572</v>
      </c>
    </row>
    <row r="389" spans="2:8" ht="15.6" x14ac:dyDescent="0.25">
      <c r="B389" s="570" t="s">
        <v>139</v>
      </c>
      <c r="C389" s="380">
        <f>SUM(C386:C388)</f>
        <v>3363.8095238095239</v>
      </c>
      <c r="D389" s="380">
        <f>SUM(D386:D388)</f>
        <v>32719.809523809527</v>
      </c>
      <c r="E389" s="380">
        <f>SUM(E386:E388)</f>
        <v>0</v>
      </c>
      <c r="F389" s="380">
        <f>SUM(F386:F388)</f>
        <v>0</v>
      </c>
      <c r="G389" s="380">
        <f>SUM(G386:G388)</f>
        <v>165.93595238095236</v>
      </c>
      <c r="H389" s="380">
        <f>+C389+D389+E389+F389+G389</f>
        <v>36249.555000000008</v>
      </c>
    </row>
    <row r="390" spans="2:8" x14ac:dyDescent="0.25">
      <c r="B390" s="577"/>
      <c r="C390" s="387"/>
      <c r="D390" s="387"/>
      <c r="E390" s="387"/>
      <c r="F390" s="387"/>
      <c r="G390" s="387"/>
      <c r="H390" s="388"/>
    </row>
    <row r="391" spans="2:8" x14ac:dyDescent="0.25">
      <c r="B391" s="577" t="s">
        <v>93</v>
      </c>
      <c r="C391" s="387">
        <f>+'C-SH-6A ConsCombFloPesq,04-21'!C392/42</f>
        <v>1280.952380952381</v>
      </c>
      <c r="D391" s="387">
        <f>+'C-SH-6A ConsCombFloPesq,04-21'!D392/42</f>
        <v>9477.6190476190477</v>
      </c>
      <c r="E391" s="387">
        <f>+'C-SH-6A ConsCombFloPesq,04-21'!E392/42</f>
        <v>0</v>
      </c>
      <c r="F391" s="387">
        <f>+'C-SH-6A ConsCombFloPesq,04-21'!F392/42</f>
        <v>0</v>
      </c>
      <c r="G391" s="387">
        <f>+'C-SH-6A ConsCombFloPesq,04-21'!G392/42</f>
        <v>57.488095238095241</v>
      </c>
      <c r="H391" s="387">
        <f>+'C-SH-6A ConsCombFloPesq,04-21'!H392/42</f>
        <v>10816.059523809523</v>
      </c>
    </row>
    <row r="392" spans="2:8" x14ac:dyDescent="0.25">
      <c r="B392" s="577" t="s">
        <v>94</v>
      </c>
      <c r="C392" s="387">
        <f>+'C-SH-6A ConsCombFloPesq,04-21'!C393/42</f>
        <v>1330.952380952381</v>
      </c>
      <c r="D392" s="387">
        <f>+'C-SH-6A ConsCombFloPesq,04-21'!D393/42</f>
        <v>4632.8571428571431</v>
      </c>
      <c r="E392" s="387">
        <f>+'C-SH-6A ConsCombFloPesq,04-21'!E393/42</f>
        <v>0</v>
      </c>
      <c r="F392" s="387">
        <f>+'C-SH-6A ConsCombFloPesq,04-21'!F393/42</f>
        <v>0</v>
      </c>
      <c r="G392" s="387">
        <f>+'C-SH-6A ConsCombFloPesq,04-21'!G393/42</f>
        <v>40.452380952380949</v>
      </c>
      <c r="H392" s="387">
        <f>+'C-SH-6A ConsCombFloPesq,04-21'!H393/42</f>
        <v>6004.2619047619046</v>
      </c>
    </row>
    <row r="393" spans="2:8" x14ac:dyDescent="0.25">
      <c r="B393" s="577" t="s">
        <v>101</v>
      </c>
      <c r="C393" s="387">
        <f>+'C-SH-6A ConsCombFloPesq,04-21'!C394/42</f>
        <v>1166.6666666666667</v>
      </c>
      <c r="D393" s="387">
        <f>+'C-SH-6A ConsCombFloPesq,04-21'!D394/42</f>
        <v>2606.8095238095239</v>
      </c>
      <c r="E393" s="387">
        <f>+'C-SH-6A ConsCombFloPesq,04-21'!E394/42</f>
        <v>0</v>
      </c>
      <c r="F393" s="387">
        <f>+'C-SH-6A ConsCombFloPesq,04-21'!F394/42</f>
        <v>0</v>
      </c>
      <c r="G393" s="387">
        <f>+'C-SH-6A ConsCombFloPesq,04-21'!G394/42</f>
        <v>26.273809523809526</v>
      </c>
      <c r="H393" s="387">
        <f>+'C-SH-6A ConsCombFloPesq,04-21'!H394/42</f>
        <v>3799.75</v>
      </c>
    </row>
    <row r="394" spans="2:8" ht="15.6" x14ac:dyDescent="0.25">
      <c r="B394" s="570" t="s">
        <v>140</v>
      </c>
      <c r="C394" s="380">
        <f>SUM(C391:C393)</f>
        <v>3778.5714285714284</v>
      </c>
      <c r="D394" s="380">
        <f>SUM(D391:D393)</f>
        <v>16717.285714285714</v>
      </c>
      <c r="E394" s="380">
        <f>SUM(E391:E393)</f>
        <v>0</v>
      </c>
      <c r="F394" s="380">
        <f>SUM(F391:F393)</f>
        <v>0</v>
      </c>
      <c r="G394" s="380">
        <f>SUM(G391:G393)</f>
        <v>124.21428571428572</v>
      </c>
      <c r="H394" s="380">
        <f>+C394+D394+E394+F394+G394</f>
        <v>20620.071428571428</v>
      </c>
    </row>
    <row r="395" spans="2:8" x14ac:dyDescent="0.25">
      <c r="B395" s="577"/>
      <c r="C395" s="387"/>
      <c r="D395" s="387"/>
      <c r="E395" s="387"/>
      <c r="F395" s="387"/>
      <c r="G395" s="387"/>
      <c r="H395" s="388"/>
    </row>
    <row r="396" spans="2:8" x14ac:dyDescent="0.25">
      <c r="B396" s="577" t="s">
        <v>95</v>
      </c>
      <c r="C396" s="387">
        <f>+'C-SH-6A ConsCombFloPesq,04-21'!C397/42</f>
        <v>1511.9047619047619</v>
      </c>
      <c r="D396" s="387">
        <f>+'C-SH-6A ConsCombFloPesq,04-21'!D397/42</f>
        <v>9911.7380952380954</v>
      </c>
      <c r="E396" s="387">
        <f>+'C-SH-6A ConsCombFloPesq,04-21'!E397/42</f>
        <v>0</v>
      </c>
      <c r="F396" s="387">
        <f>+'C-SH-6A ConsCombFloPesq,04-21'!F397/42</f>
        <v>23.80952380952381</v>
      </c>
      <c r="G396" s="387">
        <f>+'C-SH-6A ConsCombFloPesq,04-21'!G397/42</f>
        <v>63.019285714285715</v>
      </c>
      <c r="H396" s="387">
        <f>+'C-SH-6A ConsCombFloPesq,04-21'!H397/42</f>
        <v>11510.471666666666</v>
      </c>
    </row>
    <row r="397" spans="2:8" x14ac:dyDescent="0.25">
      <c r="B397" s="577" t="s">
        <v>96</v>
      </c>
      <c r="C397" s="387">
        <f>+'C-SH-6A ConsCombFloPesq,04-21'!C398/42</f>
        <v>1107.1428571428571</v>
      </c>
      <c r="D397" s="387">
        <f>+'C-SH-6A ConsCombFloPesq,04-21'!D398/42</f>
        <v>3584.4761904761904</v>
      </c>
      <c r="E397" s="387">
        <f>+'C-SH-6A ConsCombFloPesq,04-21'!E398/42</f>
        <v>0</v>
      </c>
      <c r="F397" s="387">
        <f>+'C-SH-6A ConsCombFloPesq,04-21'!F398/42</f>
        <v>0</v>
      </c>
      <c r="G397" s="387">
        <f>+'C-SH-6A ConsCombFloPesq,04-21'!G398/42</f>
        <v>33.047619047619051</v>
      </c>
      <c r="H397" s="387">
        <f>+'C-SH-6A ConsCombFloPesq,04-21'!H398/42</f>
        <v>4724.666666666667</v>
      </c>
    </row>
    <row r="398" spans="2:8" x14ac:dyDescent="0.25">
      <c r="B398" s="577" t="s">
        <v>97</v>
      </c>
      <c r="C398" s="387">
        <f>+'C-SH-6A ConsCombFloPesq,04-21'!C399/42</f>
        <v>938.09523809523807</v>
      </c>
      <c r="D398" s="387">
        <f>+'C-SH-6A ConsCombFloPesq,04-21'!D399/42</f>
        <v>3314.3095238095239</v>
      </c>
      <c r="E398" s="387">
        <f>+'C-SH-6A ConsCombFloPesq,04-21'!E399/42</f>
        <v>0</v>
      </c>
      <c r="F398" s="387">
        <f>+'C-SH-6A ConsCombFloPesq,04-21'!F399/42</f>
        <v>0</v>
      </c>
      <c r="G398" s="387">
        <f>+'C-SH-6A ConsCombFloPesq,04-21'!G399/42</f>
        <v>27.464285714285715</v>
      </c>
      <c r="H398" s="387">
        <f>+'C-SH-6A ConsCombFloPesq,04-21'!H399/42</f>
        <v>4279.8690476190477</v>
      </c>
    </row>
    <row r="399" spans="2:8" ht="15.6" x14ac:dyDescent="0.25">
      <c r="B399" s="570" t="s">
        <v>141</v>
      </c>
      <c r="C399" s="380">
        <f>SUM(C396:C398)</f>
        <v>3557.1428571428573</v>
      </c>
      <c r="D399" s="380">
        <f>SUM(D396:D398)</f>
        <v>16810.523809523809</v>
      </c>
      <c r="E399" s="380">
        <f>SUM(E396:E398)</f>
        <v>0</v>
      </c>
      <c r="F399" s="380">
        <f>SUM(F396:F398)</f>
        <v>23.80952380952381</v>
      </c>
      <c r="G399" s="380">
        <f>SUM(G396:G398)</f>
        <v>123.53119047619049</v>
      </c>
      <c r="H399" s="380">
        <f>+C399+D399+E399+F399+G399</f>
        <v>20515.007380952382</v>
      </c>
    </row>
    <row r="400" spans="2:8" ht="15.6" thickBot="1" x14ac:dyDescent="0.3">
      <c r="B400" s="593"/>
      <c r="C400" s="381"/>
      <c r="D400" s="381"/>
      <c r="E400" s="381"/>
      <c r="F400" s="381"/>
      <c r="G400" s="381"/>
      <c r="H400" s="389"/>
    </row>
    <row r="401" spans="2:9" x14ac:dyDescent="0.25">
      <c r="B401" s="14" t="s">
        <v>219</v>
      </c>
    </row>
    <row r="403" spans="2:9" ht="15" customHeight="1" x14ac:dyDescent="0.25">
      <c r="B403" s="864" t="s">
        <v>191</v>
      </c>
      <c r="C403" s="864"/>
      <c r="D403" s="864"/>
      <c r="E403" s="864"/>
      <c r="F403" s="864"/>
      <c r="G403" s="864"/>
      <c r="H403" s="864"/>
      <c r="I403" s="864"/>
    </row>
    <row r="404" spans="2:9" ht="15" customHeight="1" x14ac:dyDescent="0.25">
      <c r="B404" s="864" t="s">
        <v>137</v>
      </c>
      <c r="C404" s="864"/>
      <c r="D404" s="864"/>
      <c r="E404" s="864"/>
      <c r="F404" s="864"/>
      <c r="G404" s="864"/>
      <c r="H404" s="864"/>
      <c r="I404" s="864"/>
    </row>
    <row r="405" spans="2:9" ht="15" customHeight="1" x14ac:dyDescent="0.25">
      <c r="B405" s="864">
        <v>2008</v>
      </c>
      <c r="C405" s="864"/>
      <c r="D405" s="864"/>
      <c r="E405" s="864"/>
      <c r="F405" s="864"/>
      <c r="G405" s="864"/>
      <c r="H405" s="864"/>
      <c r="I405" s="864"/>
    </row>
    <row r="406" spans="2:9" ht="15" customHeight="1" thickBot="1" x14ac:dyDescent="0.3">
      <c r="B406" s="929" t="s">
        <v>27</v>
      </c>
      <c r="C406" s="929"/>
      <c r="D406" s="929"/>
      <c r="E406" s="929"/>
      <c r="F406" s="929"/>
      <c r="G406" s="929"/>
      <c r="H406" s="929"/>
      <c r="I406" s="929"/>
    </row>
    <row r="407" spans="2:9" ht="24.9" customHeight="1" thickBot="1" x14ac:dyDescent="0.3">
      <c r="B407" s="594" t="s">
        <v>100</v>
      </c>
      <c r="C407" s="595" t="s">
        <v>52</v>
      </c>
      <c r="D407" s="595" t="s">
        <v>123</v>
      </c>
      <c r="E407" s="595" t="s">
        <v>79</v>
      </c>
      <c r="F407" s="595" t="s">
        <v>181</v>
      </c>
      <c r="G407" s="595" t="s">
        <v>131</v>
      </c>
      <c r="H407" s="595" t="s">
        <v>84</v>
      </c>
      <c r="I407" s="595" t="s">
        <v>78</v>
      </c>
    </row>
    <row r="408" spans="2:9" ht="15" customHeight="1" x14ac:dyDescent="0.25">
      <c r="B408" s="574"/>
      <c r="C408" s="377"/>
      <c r="D408" s="377"/>
      <c r="E408" s="378"/>
      <c r="F408" s="378"/>
      <c r="G408" s="378"/>
      <c r="H408" s="378"/>
      <c r="I408" s="379"/>
    </row>
    <row r="409" spans="2:9" ht="15" customHeight="1" x14ac:dyDescent="0.25">
      <c r="B409" s="570" t="s">
        <v>103</v>
      </c>
      <c r="C409" s="380">
        <f t="shared" ref="C409:I409" si="57">+C415+C420+C425+C430</f>
        <v>18138.285714285714</v>
      </c>
      <c r="D409" s="380">
        <f t="shared" si="57"/>
        <v>76837.547619047618</v>
      </c>
      <c r="E409" s="380">
        <f t="shared" si="57"/>
        <v>0</v>
      </c>
      <c r="F409" s="380">
        <f t="shared" si="57"/>
        <v>25666.666666666668</v>
      </c>
      <c r="G409" s="380">
        <f t="shared" si="57"/>
        <v>285.23809523809524</v>
      </c>
      <c r="H409" s="380">
        <f t="shared" si="57"/>
        <v>638.18309523809535</v>
      </c>
      <c r="I409" s="380">
        <f t="shared" si="57"/>
        <v>121565.92119047619</v>
      </c>
    </row>
    <row r="410" spans="2:9" ht="15" customHeight="1" thickBot="1" x14ac:dyDescent="0.3">
      <c r="B410" s="593"/>
      <c r="C410" s="381"/>
      <c r="D410" s="381"/>
      <c r="E410" s="382"/>
      <c r="F410" s="382"/>
      <c r="G410" s="382"/>
      <c r="H410" s="382"/>
      <c r="I410" s="383"/>
    </row>
    <row r="411" spans="2:9" ht="15" customHeight="1" x14ac:dyDescent="0.25">
      <c r="B411" s="579"/>
      <c r="C411" s="384"/>
      <c r="D411" s="384"/>
      <c r="E411" s="385"/>
      <c r="F411" s="385"/>
      <c r="G411" s="385"/>
      <c r="H411" s="385"/>
      <c r="I411" s="386"/>
    </row>
    <row r="412" spans="2:9" ht="15" customHeight="1" x14ac:dyDescent="0.25">
      <c r="B412" s="577" t="s">
        <v>86</v>
      </c>
      <c r="C412" s="387">
        <f>+'C-SH-6A ConsCombFloPesq,04-21'!C413/42</f>
        <v>1695</v>
      </c>
      <c r="D412" s="387">
        <f>+'C-SH-6A ConsCombFloPesq,04-21'!D413/42</f>
        <v>6034.0714285714284</v>
      </c>
      <c r="E412" s="387">
        <f>+'C-SH-6A ConsCombFloPesq,04-21'!E413/42</f>
        <v>0</v>
      </c>
      <c r="F412" s="387">
        <f>+'C-SH-6A ConsCombFloPesq,04-21'!F413/42</f>
        <v>0</v>
      </c>
      <c r="G412" s="387">
        <f>+'C-SH-6A ConsCombFloPesq,04-21'!G413/42</f>
        <v>11.428571428571429</v>
      </c>
      <c r="H412" s="387">
        <f>+'C-SH-6A ConsCombFloPesq,04-21'!H413/42</f>
        <v>25.023809523809526</v>
      </c>
      <c r="I412" s="387">
        <f>+'C-SH-6A ConsCombFloPesq,04-21'!I413/42</f>
        <v>7765.5238095238092</v>
      </c>
    </row>
    <row r="413" spans="2:9" ht="15" customHeight="1" x14ac:dyDescent="0.25">
      <c r="B413" s="577" t="s">
        <v>87</v>
      </c>
      <c r="C413" s="387">
        <f>+'C-SH-6A ConsCombFloPesq,04-21'!C414/42</f>
        <v>1501.4285714285713</v>
      </c>
      <c r="D413" s="387">
        <f>+'C-SH-6A ConsCombFloPesq,04-21'!D414/42</f>
        <v>2622.1904761904761</v>
      </c>
      <c r="E413" s="387">
        <f>+'C-SH-6A ConsCombFloPesq,04-21'!E414/42</f>
        <v>0</v>
      </c>
      <c r="F413" s="387">
        <f>+'C-SH-6A ConsCombFloPesq,04-21'!F414/42</f>
        <v>0</v>
      </c>
      <c r="G413" s="387">
        <f>+'C-SH-6A ConsCombFloPesq,04-21'!G414/42</f>
        <v>91.666666666666671</v>
      </c>
      <c r="H413" s="387">
        <f>+'C-SH-6A ConsCombFloPesq,04-21'!H414/42</f>
        <v>16.30952380952381</v>
      </c>
      <c r="I413" s="387">
        <f>+'C-SH-6A ConsCombFloPesq,04-21'!I414/42</f>
        <v>4231.5952380952385</v>
      </c>
    </row>
    <row r="414" spans="2:9" ht="15" customHeight="1" x14ac:dyDescent="0.25">
      <c r="B414" s="577" t="s">
        <v>88</v>
      </c>
      <c r="C414" s="387">
        <f>+'C-SH-6A ConsCombFloPesq,04-21'!C415/42</f>
        <v>1532.8571428571429</v>
      </c>
      <c r="D414" s="387">
        <f>+'C-SH-6A ConsCombFloPesq,04-21'!D415/42</f>
        <v>6845.3571428571431</v>
      </c>
      <c r="E414" s="387">
        <f>+'C-SH-6A ConsCombFloPesq,04-21'!E415/42</f>
        <v>0</v>
      </c>
      <c r="F414" s="387">
        <f>+'C-SH-6A ConsCombFloPesq,04-21'!F415/42</f>
        <v>0</v>
      </c>
      <c r="G414" s="387">
        <f>+'C-SH-6A ConsCombFloPesq,04-21'!G415/42</f>
        <v>0</v>
      </c>
      <c r="H414" s="387">
        <f>+'C-SH-6A ConsCombFloPesq,04-21'!H415/42</f>
        <v>58.410714285714285</v>
      </c>
      <c r="I414" s="387">
        <f>+'C-SH-6A ConsCombFloPesq,04-21'!I415/42</f>
        <v>8436.625</v>
      </c>
    </row>
    <row r="415" spans="2:9" ht="15" customHeight="1" x14ac:dyDescent="0.25">
      <c r="B415" s="570" t="s">
        <v>138</v>
      </c>
      <c r="C415" s="380">
        <f t="shared" ref="C415:H415" si="58">SUM(C412:C414)</f>
        <v>4729.2857142857147</v>
      </c>
      <c r="D415" s="380">
        <f t="shared" si="58"/>
        <v>15501.619047619048</v>
      </c>
      <c r="E415" s="380">
        <f t="shared" si="58"/>
        <v>0</v>
      </c>
      <c r="F415" s="380">
        <f t="shared" si="58"/>
        <v>0</v>
      </c>
      <c r="G415" s="380">
        <f t="shared" si="58"/>
        <v>103.0952380952381</v>
      </c>
      <c r="H415" s="380">
        <f t="shared" si="58"/>
        <v>99.74404761904762</v>
      </c>
      <c r="I415" s="380">
        <f>+C415+D415+E415+F415+G415+H415</f>
        <v>20433.744047619046</v>
      </c>
    </row>
    <row r="416" spans="2:9" ht="15" customHeight="1" x14ac:dyDescent="0.25">
      <c r="B416" s="577"/>
      <c r="C416" s="387"/>
      <c r="D416" s="387"/>
      <c r="E416" s="387"/>
      <c r="F416" s="387"/>
      <c r="G416" s="387"/>
      <c r="H416" s="387"/>
      <c r="I416" s="388"/>
    </row>
    <row r="417" spans="2:9" ht="15" customHeight="1" x14ac:dyDescent="0.25">
      <c r="B417" s="577" t="s">
        <v>89</v>
      </c>
      <c r="C417" s="387">
        <f>+'C-SH-6A ConsCombFloPesq,04-21'!C418/42</f>
        <v>1628.0952380952381</v>
      </c>
      <c r="D417" s="387">
        <f>+'C-SH-6A ConsCombFloPesq,04-21'!D418/42</f>
        <v>9819.3571428571431</v>
      </c>
      <c r="E417" s="387">
        <f>+'C-SH-6A ConsCombFloPesq,04-21'!E418/42</f>
        <v>0</v>
      </c>
      <c r="F417" s="387">
        <f>+'C-SH-6A ConsCombFloPesq,04-21'!F418/42</f>
        <v>0</v>
      </c>
      <c r="G417" s="387">
        <f>+'C-SH-6A ConsCombFloPesq,04-21'!G418/42</f>
        <v>0</v>
      </c>
      <c r="H417" s="387">
        <f>+'C-SH-6A ConsCombFloPesq,04-21'!H418/42</f>
        <v>100.52380952380952</v>
      </c>
      <c r="I417" s="387">
        <f>+'C-SH-6A ConsCombFloPesq,04-21'!I418/42</f>
        <v>11547.976190476191</v>
      </c>
    </row>
    <row r="418" spans="2:9" ht="15" customHeight="1" x14ac:dyDescent="0.25">
      <c r="B418" s="577" t="s">
        <v>90</v>
      </c>
      <c r="C418" s="387">
        <f>+'C-SH-6A ConsCombFloPesq,04-21'!C419/42</f>
        <v>1354.7619047619048</v>
      </c>
      <c r="D418" s="387">
        <f>+'C-SH-6A ConsCombFloPesq,04-21'!D419/42</f>
        <v>7691.3571428571431</v>
      </c>
      <c r="E418" s="387">
        <f>+'C-SH-6A ConsCombFloPesq,04-21'!E419/42</f>
        <v>0</v>
      </c>
      <c r="F418" s="387">
        <f>+'C-SH-6A ConsCombFloPesq,04-21'!F419/42</f>
        <v>8119.0476190476193</v>
      </c>
      <c r="G418" s="387">
        <f>+'C-SH-6A ConsCombFloPesq,04-21'!G419/42</f>
        <v>67.857142857142861</v>
      </c>
      <c r="H418" s="387">
        <f>+'C-SH-6A ConsCombFloPesq,04-21'!H419/42</f>
        <v>77.642857142857139</v>
      </c>
      <c r="I418" s="387">
        <f>+'C-SH-6A ConsCombFloPesq,04-21'!I419/42</f>
        <v>17310.666666666668</v>
      </c>
    </row>
    <row r="419" spans="2:9" ht="15" customHeight="1" x14ac:dyDescent="0.25">
      <c r="B419" s="577" t="s">
        <v>91</v>
      </c>
      <c r="C419" s="387">
        <f>+'C-SH-6A ConsCombFloPesq,04-21'!C420/42</f>
        <v>1202.3809523809523</v>
      </c>
      <c r="D419" s="387">
        <f>+'C-SH-6A ConsCombFloPesq,04-21'!D420/42</f>
        <v>5423.3095238095239</v>
      </c>
      <c r="E419" s="387">
        <f>+'C-SH-6A ConsCombFloPesq,04-21'!E420/42</f>
        <v>0</v>
      </c>
      <c r="F419" s="387">
        <f>+'C-SH-6A ConsCombFloPesq,04-21'!F420/42</f>
        <v>5761.9047619047615</v>
      </c>
      <c r="G419" s="387">
        <f>+'C-SH-6A ConsCombFloPesq,04-21'!G420/42</f>
        <v>0</v>
      </c>
      <c r="H419" s="387">
        <f>+'C-SH-6A ConsCombFloPesq,04-21'!H420/42</f>
        <v>54.214285714285715</v>
      </c>
      <c r="I419" s="387">
        <f>+'C-SH-6A ConsCombFloPesq,04-21'!I420/42</f>
        <v>12441.809523809523</v>
      </c>
    </row>
    <row r="420" spans="2:9" ht="15" customHeight="1" x14ac:dyDescent="0.25">
      <c r="B420" s="570" t="s">
        <v>139</v>
      </c>
      <c r="C420" s="380">
        <f t="shared" ref="C420:H420" si="59">SUM(C417:C419)</f>
        <v>4185.2380952380954</v>
      </c>
      <c r="D420" s="380">
        <f t="shared" si="59"/>
        <v>22934.023809523809</v>
      </c>
      <c r="E420" s="380">
        <f t="shared" si="59"/>
        <v>0</v>
      </c>
      <c r="F420" s="380">
        <f t="shared" si="59"/>
        <v>13880.952380952382</v>
      </c>
      <c r="G420" s="380">
        <f t="shared" si="59"/>
        <v>67.857142857142861</v>
      </c>
      <c r="H420" s="380">
        <f t="shared" si="59"/>
        <v>232.38095238095238</v>
      </c>
      <c r="I420" s="380">
        <f>+C420+D420+E420+F420+G420+H420</f>
        <v>41300.452380952389</v>
      </c>
    </row>
    <row r="421" spans="2:9" ht="15" customHeight="1" x14ac:dyDescent="0.25">
      <c r="B421" s="577"/>
      <c r="C421" s="387"/>
      <c r="D421" s="387"/>
      <c r="E421" s="387"/>
      <c r="F421" s="387"/>
      <c r="G421" s="387"/>
      <c r="H421" s="387"/>
      <c r="I421" s="388"/>
    </row>
    <row r="422" spans="2:9" ht="15" customHeight="1" x14ac:dyDescent="0.25">
      <c r="B422" s="577" t="s">
        <v>93</v>
      </c>
      <c r="C422" s="387">
        <f>+'C-SH-6A ConsCombFloPesq,04-21'!C423/42</f>
        <v>1607.8571428571429</v>
      </c>
      <c r="D422" s="387">
        <f>+'C-SH-6A ConsCombFloPesq,04-21'!D423/42</f>
        <v>7216.9761904761908</v>
      </c>
      <c r="E422" s="387">
        <f>+'C-SH-6A ConsCombFloPesq,04-21'!E423/42</f>
        <v>0</v>
      </c>
      <c r="F422" s="387">
        <f>+'C-SH-6A ConsCombFloPesq,04-21'!F423/42</f>
        <v>5428.5714285714284</v>
      </c>
      <c r="G422" s="387">
        <f>+'C-SH-6A ConsCombFloPesq,04-21'!G423/42</f>
        <v>0</v>
      </c>
      <c r="H422" s="387">
        <f>+'C-SH-6A ConsCombFloPesq,04-21'!H423/42</f>
        <v>70.285714285714292</v>
      </c>
      <c r="I422" s="387">
        <f>+'C-SH-6A ConsCombFloPesq,04-21'!I423/42</f>
        <v>14323.690476190477</v>
      </c>
    </row>
    <row r="423" spans="2:9" ht="15" customHeight="1" x14ac:dyDescent="0.25">
      <c r="B423" s="577" t="s">
        <v>94</v>
      </c>
      <c r="C423" s="387">
        <f>+'C-SH-6A ConsCombFloPesq,04-21'!C424/42</f>
        <v>1798.3333333333333</v>
      </c>
      <c r="D423" s="387">
        <f>+'C-SH-6A ConsCombFloPesq,04-21'!D424/42</f>
        <v>4726.0238095238092</v>
      </c>
      <c r="E423" s="387">
        <f>+'C-SH-6A ConsCombFloPesq,04-21'!E424/42</f>
        <v>0</v>
      </c>
      <c r="F423" s="387">
        <f>+'C-SH-6A ConsCombFloPesq,04-21'!F424/42</f>
        <v>3119.0476190476193</v>
      </c>
      <c r="G423" s="387">
        <f>+'C-SH-6A ConsCombFloPesq,04-21'!G424/42</f>
        <v>69.047619047619051</v>
      </c>
      <c r="H423" s="387">
        <f>+'C-SH-6A ConsCombFloPesq,04-21'!H424/42</f>
        <v>65.595238095238102</v>
      </c>
      <c r="I423" s="387">
        <f>+'C-SH-6A ConsCombFloPesq,04-21'!I424/42</f>
        <v>9778.0476190476184</v>
      </c>
    </row>
    <row r="424" spans="2:9" ht="15" customHeight="1" x14ac:dyDescent="0.25">
      <c r="B424" s="577" t="s">
        <v>101</v>
      </c>
      <c r="C424" s="387">
        <f>+'C-SH-6A ConsCombFloPesq,04-21'!C425/42</f>
        <v>1716.6666666666667</v>
      </c>
      <c r="D424" s="387">
        <f>+'C-SH-6A ConsCombFloPesq,04-21'!D425/42</f>
        <v>2435.3571428571427</v>
      </c>
      <c r="E424" s="387">
        <f>+'C-SH-6A ConsCombFloPesq,04-21'!E425/42</f>
        <v>0</v>
      </c>
      <c r="F424" s="387">
        <f>+'C-SH-6A ConsCombFloPesq,04-21'!F425/42</f>
        <v>2666.6666666666665</v>
      </c>
      <c r="G424" s="387">
        <f>+'C-SH-6A ConsCombFloPesq,04-21'!G425/42</f>
        <v>0</v>
      </c>
      <c r="H424" s="387">
        <f>+'C-SH-6A ConsCombFloPesq,04-21'!H425/42</f>
        <v>37.415238095238095</v>
      </c>
      <c r="I424" s="387">
        <f>+'C-SH-6A ConsCombFloPesq,04-21'!I425/42</f>
        <v>6856.1057142857144</v>
      </c>
    </row>
    <row r="425" spans="2:9" ht="15" customHeight="1" x14ac:dyDescent="0.25">
      <c r="B425" s="570" t="s">
        <v>140</v>
      </c>
      <c r="C425" s="380">
        <f t="shared" ref="C425:H425" si="60">SUM(C422:C424)</f>
        <v>5122.8571428571431</v>
      </c>
      <c r="D425" s="380">
        <f t="shared" si="60"/>
        <v>14378.357142857143</v>
      </c>
      <c r="E425" s="380">
        <f t="shared" si="60"/>
        <v>0</v>
      </c>
      <c r="F425" s="380">
        <f t="shared" si="60"/>
        <v>11214.285714285714</v>
      </c>
      <c r="G425" s="380">
        <f t="shared" si="60"/>
        <v>69.047619047619051</v>
      </c>
      <c r="H425" s="380">
        <f t="shared" si="60"/>
        <v>173.2961904761905</v>
      </c>
      <c r="I425" s="380">
        <f>+C425+D425+E425+F425+G425+H425</f>
        <v>30957.843809523809</v>
      </c>
    </row>
    <row r="426" spans="2:9" ht="15" customHeight="1" x14ac:dyDescent="0.25">
      <c r="B426" s="577"/>
      <c r="C426" s="387"/>
      <c r="D426" s="387"/>
      <c r="E426" s="387"/>
      <c r="F426" s="387"/>
      <c r="G426" s="387"/>
      <c r="H426" s="387"/>
      <c r="I426" s="388"/>
    </row>
    <row r="427" spans="2:9" ht="15" customHeight="1" x14ac:dyDescent="0.25">
      <c r="B427" s="577" t="s">
        <v>95</v>
      </c>
      <c r="C427" s="387">
        <f>+'C-SH-6A ConsCombFloPesq,04-21'!C428/42</f>
        <v>1905.952380952381</v>
      </c>
      <c r="D427" s="387">
        <f>+'C-SH-6A ConsCombFloPesq,04-21'!D428/42</f>
        <v>8180.7857142857147</v>
      </c>
      <c r="E427" s="387">
        <f>+'C-SH-6A ConsCombFloPesq,04-21'!E428/42</f>
        <v>0</v>
      </c>
      <c r="F427" s="387">
        <f>+'C-SH-6A ConsCombFloPesq,04-21'!F428/42</f>
        <v>571.42857142857144</v>
      </c>
      <c r="G427" s="387">
        <f>+'C-SH-6A ConsCombFloPesq,04-21'!G428/42</f>
        <v>45.238095238095241</v>
      </c>
      <c r="H427" s="387">
        <f>+'C-SH-6A ConsCombFloPesq,04-21'!H428/42</f>
        <v>91.5</v>
      </c>
      <c r="I427" s="387">
        <f>+'C-SH-6A ConsCombFloPesq,04-21'!I428/42</f>
        <v>10794.904761904761</v>
      </c>
    </row>
    <row r="428" spans="2:9" ht="15" customHeight="1" x14ac:dyDescent="0.25">
      <c r="B428" s="577" t="s">
        <v>96</v>
      </c>
      <c r="C428" s="387">
        <f>+'C-SH-6A ConsCombFloPesq,04-21'!C429/42</f>
        <v>937.14285714285711</v>
      </c>
      <c r="D428" s="387">
        <f>+'C-SH-6A ConsCombFloPesq,04-21'!D429/42</f>
        <v>7271.166666666667</v>
      </c>
      <c r="E428" s="387">
        <f>+'C-SH-6A ConsCombFloPesq,04-21'!E429/42</f>
        <v>0</v>
      </c>
      <c r="F428" s="387">
        <f>+'C-SH-6A ConsCombFloPesq,04-21'!F429/42</f>
        <v>0</v>
      </c>
      <c r="G428" s="387">
        <f>+'C-SH-6A ConsCombFloPesq,04-21'!G429/42</f>
        <v>0</v>
      </c>
      <c r="H428" s="387">
        <f>+'C-SH-6A ConsCombFloPesq,04-21'!H429/42</f>
        <v>29.38095238095238</v>
      </c>
      <c r="I428" s="387">
        <f>+'C-SH-6A ConsCombFloPesq,04-21'!I429/42</f>
        <v>8237.6904761904771</v>
      </c>
    </row>
    <row r="429" spans="2:9" ht="15" customHeight="1" x14ac:dyDescent="0.25">
      <c r="B429" s="577" t="s">
        <v>97</v>
      </c>
      <c r="C429" s="387">
        <f>+'C-SH-6A ConsCombFloPesq,04-21'!C430/42</f>
        <v>1257.8095238095239</v>
      </c>
      <c r="D429" s="387">
        <f>+'C-SH-6A ConsCombFloPesq,04-21'!D430/42</f>
        <v>8571.5952380952385</v>
      </c>
      <c r="E429" s="387">
        <f>+'C-SH-6A ConsCombFloPesq,04-21'!E430/42</f>
        <v>0</v>
      </c>
      <c r="F429" s="387">
        <f>+'C-SH-6A ConsCombFloPesq,04-21'!F430/42</f>
        <v>0</v>
      </c>
      <c r="G429" s="387">
        <f>+'C-SH-6A ConsCombFloPesq,04-21'!G430/42</f>
        <v>0</v>
      </c>
      <c r="H429" s="387">
        <f>+'C-SH-6A ConsCombFloPesq,04-21'!H430/42</f>
        <v>11.880952380952381</v>
      </c>
      <c r="I429" s="387">
        <f>+'C-SH-6A ConsCombFloPesq,04-21'!I430/42</f>
        <v>9841.2857142857138</v>
      </c>
    </row>
    <row r="430" spans="2:9" ht="15" customHeight="1" x14ac:dyDescent="0.25">
      <c r="B430" s="570" t="s">
        <v>141</v>
      </c>
      <c r="C430" s="380">
        <f t="shared" ref="C430:H430" si="61">SUM(C427:C429)</f>
        <v>4100.9047619047615</v>
      </c>
      <c r="D430" s="380">
        <f t="shared" si="61"/>
        <v>24023.547619047618</v>
      </c>
      <c r="E430" s="380">
        <f t="shared" si="61"/>
        <v>0</v>
      </c>
      <c r="F430" s="380">
        <f t="shared" si="61"/>
        <v>571.42857142857144</v>
      </c>
      <c r="G430" s="380">
        <f t="shared" si="61"/>
        <v>45.238095238095241</v>
      </c>
      <c r="H430" s="380">
        <f t="shared" si="61"/>
        <v>132.76190476190476</v>
      </c>
      <c r="I430" s="380">
        <f>+C430+D430+E430+F430+G430+H430</f>
        <v>28873.880952380954</v>
      </c>
    </row>
    <row r="431" spans="2:9" ht="15" customHeight="1" thickBot="1" x14ac:dyDescent="0.3">
      <c r="B431" s="593"/>
      <c r="C431" s="381"/>
      <c r="D431" s="381"/>
      <c r="E431" s="381"/>
      <c r="F431" s="381"/>
      <c r="G431" s="381"/>
      <c r="H431" s="381"/>
      <c r="I431" s="389"/>
    </row>
    <row r="432" spans="2:9" ht="15" customHeight="1" x14ac:dyDescent="0.25">
      <c r="B432" s="14" t="s">
        <v>23</v>
      </c>
      <c r="C432" s="14"/>
      <c r="D432" s="14"/>
      <c r="E432" s="6"/>
      <c r="F432" s="6"/>
      <c r="G432" s="6"/>
      <c r="H432" s="6"/>
      <c r="I432" s="6"/>
    </row>
    <row r="433" spans="2:9" ht="15" customHeight="1" x14ac:dyDescent="0.25">
      <c r="B433" s="41"/>
      <c r="C433" s="41"/>
      <c r="D433" s="41"/>
      <c r="E433" s="41"/>
      <c r="F433" s="41"/>
      <c r="G433" s="41"/>
      <c r="H433" s="41"/>
      <c r="I433" s="41"/>
    </row>
    <row r="434" spans="2:9" ht="15" customHeight="1" x14ac:dyDescent="0.25">
      <c r="B434" s="864" t="s">
        <v>137</v>
      </c>
      <c r="C434" s="864"/>
      <c r="D434" s="864"/>
      <c r="E434" s="864"/>
      <c r="F434" s="864"/>
      <c r="G434" s="864"/>
      <c r="H434" s="864"/>
      <c r="I434" s="864"/>
    </row>
    <row r="435" spans="2:9" ht="15" customHeight="1" x14ac:dyDescent="0.25">
      <c r="B435" s="864">
        <v>2007</v>
      </c>
      <c r="C435" s="864"/>
      <c r="D435" s="864"/>
      <c r="E435" s="864"/>
      <c r="F435" s="864"/>
      <c r="G435" s="864"/>
      <c r="H435" s="864"/>
      <c r="I435" s="864"/>
    </row>
    <row r="436" spans="2:9" ht="15" customHeight="1" thickBot="1" x14ac:dyDescent="0.3">
      <c r="B436" s="929" t="s">
        <v>27</v>
      </c>
      <c r="C436" s="929"/>
      <c r="D436" s="929"/>
      <c r="E436" s="929"/>
      <c r="F436" s="929"/>
      <c r="G436" s="929"/>
      <c r="H436" s="929"/>
      <c r="I436" s="929"/>
    </row>
    <row r="437" spans="2:9" ht="24.9" customHeight="1" thickBot="1" x14ac:dyDescent="0.3">
      <c r="B437" s="594" t="s">
        <v>100</v>
      </c>
      <c r="C437" s="595" t="s">
        <v>52</v>
      </c>
      <c r="D437" s="595" t="s">
        <v>123</v>
      </c>
      <c r="E437" s="595" t="s">
        <v>79</v>
      </c>
      <c r="F437" s="595" t="s">
        <v>181</v>
      </c>
      <c r="G437" s="595" t="s">
        <v>131</v>
      </c>
      <c r="H437" s="595" t="s">
        <v>84</v>
      </c>
      <c r="I437" s="595" t="s">
        <v>78</v>
      </c>
    </row>
    <row r="438" spans="2:9" ht="15" customHeight="1" x14ac:dyDescent="0.25">
      <c r="B438" s="574"/>
      <c r="C438" s="377"/>
      <c r="D438" s="377"/>
      <c r="E438" s="378"/>
      <c r="F438" s="378"/>
      <c r="G438" s="378"/>
      <c r="H438" s="378"/>
      <c r="I438" s="379"/>
    </row>
    <row r="439" spans="2:9" ht="15" customHeight="1" x14ac:dyDescent="0.25">
      <c r="B439" s="570" t="s">
        <v>103</v>
      </c>
      <c r="C439" s="380">
        <f t="shared" ref="C439:I439" si="62">+C445+C450+C455+C460</f>
        <v>18501.666666666668</v>
      </c>
      <c r="D439" s="380">
        <f t="shared" si="62"/>
        <v>78744.380952380947</v>
      </c>
      <c r="E439" s="380">
        <f t="shared" si="62"/>
        <v>0</v>
      </c>
      <c r="F439" s="380">
        <f t="shared" si="62"/>
        <v>0</v>
      </c>
      <c r="G439" s="380">
        <f t="shared" si="62"/>
        <v>553.09523809523807</v>
      </c>
      <c r="H439" s="380">
        <f t="shared" si="62"/>
        <v>5450.0714285714284</v>
      </c>
      <c r="I439" s="380">
        <f t="shared" si="62"/>
        <v>103249.21428571429</v>
      </c>
    </row>
    <row r="440" spans="2:9" ht="15" customHeight="1" thickBot="1" x14ac:dyDescent="0.3">
      <c r="B440" s="593"/>
      <c r="C440" s="381"/>
      <c r="D440" s="381"/>
      <c r="E440" s="382"/>
      <c r="F440" s="382"/>
      <c r="G440" s="382"/>
      <c r="H440" s="382"/>
      <c r="I440" s="383"/>
    </row>
    <row r="441" spans="2:9" ht="15" customHeight="1" x14ac:dyDescent="0.25">
      <c r="B441" s="579"/>
      <c r="C441" s="384"/>
      <c r="D441" s="384"/>
      <c r="E441" s="385"/>
      <c r="F441" s="385"/>
      <c r="G441" s="385"/>
      <c r="H441" s="385"/>
      <c r="I441" s="386"/>
    </row>
    <row r="442" spans="2:9" ht="15" customHeight="1" x14ac:dyDescent="0.25">
      <c r="B442" s="577" t="s">
        <v>86</v>
      </c>
      <c r="C442" s="387">
        <f>+'C-SH-6A ConsCombFloPesq,04-21'!C444/42</f>
        <v>1838.0952380952381</v>
      </c>
      <c r="D442" s="387">
        <f>+'C-SH-6A ConsCombFloPesq,04-21'!D444/42</f>
        <v>4212.1190476190477</v>
      </c>
      <c r="E442" s="387">
        <f>+'C-SH-6A ConsCombFloPesq,04-21'!E444/42</f>
        <v>0</v>
      </c>
      <c r="F442" s="387">
        <f>+'C-SH-6A ConsCombFloPesq,04-21'!F444/42</f>
        <v>0</v>
      </c>
      <c r="G442" s="387">
        <f>+'C-SH-6A ConsCombFloPesq,04-21'!G444/42</f>
        <v>95.238095238095241</v>
      </c>
      <c r="H442" s="387">
        <f>+'C-SH-6A ConsCombFloPesq,04-21'!H444/42</f>
        <v>81.30952380952381</v>
      </c>
      <c r="I442" s="387">
        <f>+'C-SH-6A ConsCombFloPesq,04-21'!I444/42</f>
        <v>6226.7619047619046</v>
      </c>
    </row>
    <row r="443" spans="2:9" ht="15" customHeight="1" x14ac:dyDescent="0.25">
      <c r="B443" s="577" t="s">
        <v>87</v>
      </c>
      <c r="C443" s="387">
        <f>+'C-SH-6A ConsCombFloPesq,04-21'!C445/42</f>
        <v>1672.6190476190477</v>
      </c>
      <c r="D443" s="387">
        <f>+'C-SH-6A ConsCombFloPesq,04-21'!D445/42</f>
        <v>2213.7142857142858</v>
      </c>
      <c r="E443" s="387">
        <f>+'C-SH-6A ConsCombFloPesq,04-21'!E445/42</f>
        <v>0</v>
      </c>
      <c r="F443" s="387">
        <f>+'C-SH-6A ConsCombFloPesq,04-21'!F445/42</f>
        <v>0</v>
      </c>
      <c r="G443" s="387">
        <f>+'C-SH-6A ConsCombFloPesq,04-21'!G445/42</f>
        <v>0</v>
      </c>
      <c r="H443" s="387">
        <f>+'C-SH-6A ConsCombFloPesq,04-21'!H445/42</f>
        <v>64.642857142857139</v>
      </c>
      <c r="I443" s="387">
        <f>+'C-SH-6A ConsCombFloPesq,04-21'!I445/42</f>
        <v>3950.9761904761904</v>
      </c>
    </row>
    <row r="444" spans="2:9" ht="15" customHeight="1" x14ac:dyDescent="0.25">
      <c r="B444" s="577" t="s">
        <v>88</v>
      </c>
      <c r="C444" s="387">
        <f>+'C-SH-6A ConsCombFloPesq,04-21'!C446/42</f>
        <v>1970.952380952381</v>
      </c>
      <c r="D444" s="387">
        <f>+'C-SH-6A ConsCombFloPesq,04-21'!D446/42</f>
        <v>3622.6190476190477</v>
      </c>
      <c r="E444" s="387">
        <f>+'C-SH-6A ConsCombFloPesq,04-21'!E446/42</f>
        <v>0</v>
      </c>
      <c r="F444" s="387">
        <f>+'C-SH-6A ConsCombFloPesq,04-21'!F446/42</f>
        <v>0</v>
      </c>
      <c r="G444" s="387">
        <f>+'C-SH-6A ConsCombFloPesq,04-21'!G446/42</f>
        <v>104.76190476190476</v>
      </c>
      <c r="H444" s="387">
        <f>+'C-SH-6A ConsCombFloPesq,04-21'!H446/42</f>
        <v>152.28571428571428</v>
      </c>
      <c r="I444" s="387">
        <f>+'C-SH-6A ConsCombFloPesq,04-21'!I446/42</f>
        <v>5850.6190476190477</v>
      </c>
    </row>
    <row r="445" spans="2:9" ht="15" customHeight="1" x14ac:dyDescent="0.25">
      <c r="B445" s="570" t="s">
        <v>138</v>
      </c>
      <c r="C445" s="380">
        <f t="shared" ref="C445:H445" si="63">SUM(C442:C444)</f>
        <v>5481.666666666667</v>
      </c>
      <c r="D445" s="380">
        <f t="shared" si="63"/>
        <v>10048.452380952382</v>
      </c>
      <c r="E445" s="380">
        <f t="shared" si="63"/>
        <v>0</v>
      </c>
      <c r="F445" s="380">
        <f t="shared" si="63"/>
        <v>0</v>
      </c>
      <c r="G445" s="380">
        <f t="shared" si="63"/>
        <v>200</v>
      </c>
      <c r="H445" s="380">
        <f t="shared" si="63"/>
        <v>298.23809523809524</v>
      </c>
      <c r="I445" s="380">
        <f>+C445+D445+E445+F445+G445+H445</f>
        <v>16028.357142857145</v>
      </c>
    </row>
    <row r="446" spans="2:9" ht="15" customHeight="1" x14ac:dyDescent="0.25">
      <c r="B446" s="577"/>
      <c r="C446" s="387"/>
      <c r="D446" s="387"/>
      <c r="E446" s="387"/>
      <c r="F446" s="387"/>
      <c r="G446" s="387"/>
      <c r="H446" s="387"/>
      <c r="I446" s="388"/>
    </row>
    <row r="447" spans="2:9" ht="15" customHeight="1" x14ac:dyDescent="0.25">
      <c r="B447" s="577" t="s">
        <v>89</v>
      </c>
      <c r="C447" s="387">
        <f>+'C-SH-6A ConsCombFloPesq,04-21'!C449/42</f>
        <v>1346.4285714285713</v>
      </c>
      <c r="D447" s="387">
        <f>+'C-SH-6A ConsCombFloPesq,04-21'!D449/42</f>
        <v>10257.309523809523</v>
      </c>
      <c r="E447" s="387">
        <f>+'C-SH-6A ConsCombFloPesq,04-21'!E449/42</f>
        <v>0</v>
      </c>
      <c r="F447" s="387">
        <f>+'C-SH-6A ConsCombFloPesq,04-21'!F449/42</f>
        <v>0</v>
      </c>
      <c r="G447" s="387">
        <f>+'C-SH-6A ConsCombFloPesq,04-21'!G449/42</f>
        <v>11.904761904761905</v>
      </c>
      <c r="H447" s="387">
        <f>+'C-SH-6A ConsCombFloPesq,04-21'!H449/42</f>
        <v>245.78571428571428</v>
      </c>
      <c r="I447" s="387">
        <f>+'C-SH-6A ConsCombFloPesq,04-21'!I449/42</f>
        <v>11861.428571428571</v>
      </c>
    </row>
    <row r="448" spans="2:9" ht="15" customHeight="1" x14ac:dyDescent="0.25">
      <c r="B448" s="577" t="s">
        <v>90</v>
      </c>
      <c r="C448" s="387">
        <f>+'C-SH-6A ConsCombFloPesq,04-21'!C450/42</f>
        <v>1727.6190476190477</v>
      </c>
      <c r="D448" s="387">
        <f>+'C-SH-6A ConsCombFloPesq,04-21'!D450/42</f>
        <v>8976.1190476190477</v>
      </c>
      <c r="E448" s="387">
        <f>+'C-SH-6A ConsCombFloPesq,04-21'!E450/42</f>
        <v>0</v>
      </c>
      <c r="F448" s="387">
        <f>+'C-SH-6A ConsCombFloPesq,04-21'!F450/42</f>
        <v>0</v>
      </c>
      <c r="G448" s="387">
        <f>+'C-SH-6A ConsCombFloPesq,04-21'!G450/42</f>
        <v>59.523809523809526</v>
      </c>
      <c r="H448" s="387">
        <f>+'C-SH-6A ConsCombFloPesq,04-21'!H450/42</f>
        <v>147.71428571428572</v>
      </c>
      <c r="I448" s="387">
        <f>+'C-SH-6A ConsCombFloPesq,04-21'!I450/42</f>
        <v>10910.976190476191</v>
      </c>
    </row>
    <row r="449" spans="2:9" ht="15" customHeight="1" x14ac:dyDescent="0.25">
      <c r="B449" s="577" t="s">
        <v>91</v>
      </c>
      <c r="C449" s="387">
        <f>+'C-SH-6A ConsCombFloPesq,04-21'!C451/42</f>
        <v>1527.6190476190477</v>
      </c>
      <c r="D449" s="387">
        <f>+'C-SH-6A ConsCombFloPesq,04-21'!D451/42</f>
        <v>9610.5714285714294</v>
      </c>
      <c r="E449" s="387">
        <f>+'C-SH-6A ConsCombFloPesq,04-21'!E451/42</f>
        <v>0</v>
      </c>
      <c r="F449" s="387">
        <f>+'C-SH-6A ConsCombFloPesq,04-21'!F451/42</f>
        <v>0</v>
      </c>
      <c r="G449" s="387">
        <f>+'C-SH-6A ConsCombFloPesq,04-21'!G451/42</f>
        <v>16.666666666666668</v>
      </c>
      <c r="H449" s="387">
        <f>+'C-SH-6A ConsCombFloPesq,04-21'!H451/42</f>
        <v>103.92857142857143</v>
      </c>
      <c r="I449" s="387">
        <f>+'C-SH-6A ConsCombFloPesq,04-21'!I451/42</f>
        <v>11258.785714285714</v>
      </c>
    </row>
    <row r="450" spans="2:9" ht="15" customHeight="1" x14ac:dyDescent="0.25">
      <c r="B450" s="570" t="s">
        <v>139</v>
      </c>
      <c r="C450" s="380">
        <f t="shared" ref="C450:H450" si="64">SUM(C447:C449)</f>
        <v>4601.666666666667</v>
      </c>
      <c r="D450" s="380">
        <f t="shared" si="64"/>
        <v>28844</v>
      </c>
      <c r="E450" s="380">
        <f t="shared" si="64"/>
        <v>0</v>
      </c>
      <c r="F450" s="380">
        <f t="shared" si="64"/>
        <v>0</v>
      </c>
      <c r="G450" s="380">
        <f t="shared" si="64"/>
        <v>88.095238095238102</v>
      </c>
      <c r="H450" s="380">
        <f t="shared" si="64"/>
        <v>497.42857142857144</v>
      </c>
      <c r="I450" s="380">
        <f>+C450+D450+E450+F450+G450+H450</f>
        <v>34031.190476190473</v>
      </c>
    </row>
    <row r="451" spans="2:9" ht="15" customHeight="1" x14ac:dyDescent="0.25">
      <c r="B451" s="577"/>
      <c r="C451" s="387"/>
      <c r="D451" s="387"/>
      <c r="E451" s="387"/>
      <c r="F451" s="387"/>
      <c r="G451" s="387"/>
      <c r="H451" s="387"/>
      <c r="I451" s="388"/>
    </row>
    <row r="452" spans="2:9" ht="15" customHeight="1" x14ac:dyDescent="0.25">
      <c r="B452" s="577" t="s">
        <v>93</v>
      </c>
      <c r="C452" s="387">
        <f>+'C-SH-6A ConsCombFloPesq,04-21'!C454/42</f>
        <v>1616.6666666666667</v>
      </c>
      <c r="D452" s="387">
        <f>+'C-SH-6A ConsCombFloPesq,04-21'!D454/42</f>
        <v>8548.1190476190477</v>
      </c>
      <c r="E452" s="387">
        <f>+'C-SH-6A ConsCombFloPesq,04-21'!E454/42</f>
        <v>0</v>
      </c>
      <c r="F452" s="387">
        <f>+'C-SH-6A ConsCombFloPesq,04-21'!F454/42</f>
        <v>0</v>
      </c>
      <c r="G452" s="387">
        <f>+'C-SH-6A ConsCombFloPesq,04-21'!G454/42</f>
        <v>11.904761904761905</v>
      </c>
      <c r="H452" s="387">
        <f>+'C-SH-6A ConsCombFloPesq,04-21'!H454/42</f>
        <v>4200.9285714285716</v>
      </c>
      <c r="I452" s="387">
        <f>+'C-SH-6A ConsCombFloPesq,04-21'!I454/42</f>
        <v>14377.619047619048</v>
      </c>
    </row>
    <row r="453" spans="2:9" ht="15" customHeight="1" x14ac:dyDescent="0.25">
      <c r="B453" s="577" t="s">
        <v>94</v>
      </c>
      <c r="C453" s="387">
        <f>+'C-SH-6A ConsCombFloPesq,04-21'!C455/42</f>
        <v>1390.2380952380952</v>
      </c>
      <c r="D453" s="387">
        <f>+'C-SH-6A ConsCombFloPesq,04-21'!D455/42</f>
        <v>7191.1428571428569</v>
      </c>
      <c r="E453" s="387">
        <f>+'C-SH-6A ConsCombFloPesq,04-21'!E455/42</f>
        <v>0</v>
      </c>
      <c r="F453" s="387">
        <f>+'C-SH-6A ConsCombFloPesq,04-21'!F455/42</f>
        <v>0</v>
      </c>
      <c r="G453" s="387">
        <f>+'C-SH-6A ConsCombFloPesq,04-21'!G455/42</f>
        <v>94.761904761904759</v>
      </c>
      <c r="H453" s="387">
        <f>+'C-SH-6A ConsCombFloPesq,04-21'!H455/42</f>
        <v>131.71428571428572</v>
      </c>
      <c r="I453" s="387">
        <f>+'C-SH-6A ConsCombFloPesq,04-21'!I455/42</f>
        <v>8807.8571428571431</v>
      </c>
    </row>
    <row r="454" spans="2:9" ht="15" customHeight="1" x14ac:dyDescent="0.25">
      <c r="B454" s="577" t="s">
        <v>101</v>
      </c>
      <c r="C454" s="387">
        <f>+'C-SH-6A ConsCombFloPesq,04-21'!C456/42</f>
        <v>1301.9047619047619</v>
      </c>
      <c r="D454" s="387">
        <f>+'C-SH-6A ConsCombFloPesq,04-21'!D456/42</f>
        <v>2502.6190476190477</v>
      </c>
      <c r="E454" s="387">
        <f>+'C-SH-6A ConsCombFloPesq,04-21'!E456/42</f>
        <v>0</v>
      </c>
      <c r="F454" s="387">
        <f>+'C-SH-6A ConsCombFloPesq,04-21'!F456/42</f>
        <v>0</v>
      </c>
      <c r="G454" s="387">
        <f>+'C-SH-6A ConsCombFloPesq,04-21'!G456/42</f>
        <v>54.761904761904759</v>
      </c>
      <c r="H454" s="387">
        <f>+'C-SH-6A ConsCombFloPesq,04-21'!H456/42</f>
        <v>93.833333333333329</v>
      </c>
      <c r="I454" s="387">
        <f>+'C-SH-6A ConsCombFloPesq,04-21'!I456/42</f>
        <v>3953.1190476190477</v>
      </c>
    </row>
    <row r="455" spans="2:9" ht="15" customHeight="1" x14ac:dyDescent="0.25">
      <c r="B455" s="570" t="s">
        <v>140</v>
      </c>
      <c r="C455" s="380">
        <f t="shared" ref="C455:H455" si="65">SUM(C452:C454)</f>
        <v>4308.8095238095239</v>
      </c>
      <c r="D455" s="380">
        <f t="shared" si="65"/>
        <v>18241.880952380954</v>
      </c>
      <c r="E455" s="380">
        <f t="shared" si="65"/>
        <v>0</v>
      </c>
      <c r="F455" s="380">
        <f t="shared" si="65"/>
        <v>0</v>
      </c>
      <c r="G455" s="380">
        <f t="shared" si="65"/>
        <v>161.42857142857142</v>
      </c>
      <c r="H455" s="380">
        <f t="shared" si="65"/>
        <v>4426.4761904761899</v>
      </c>
      <c r="I455" s="380">
        <f>+C455+D455+E455+F455+G455+H455</f>
        <v>27138.59523809524</v>
      </c>
    </row>
    <row r="456" spans="2:9" ht="15" customHeight="1" x14ac:dyDescent="0.25">
      <c r="B456" s="577"/>
      <c r="C456" s="387"/>
      <c r="D456" s="387"/>
      <c r="E456" s="387"/>
      <c r="F456" s="387"/>
      <c r="G456" s="387"/>
      <c r="H456" s="387"/>
      <c r="I456" s="388"/>
    </row>
    <row r="457" spans="2:9" ht="15" customHeight="1" x14ac:dyDescent="0.25">
      <c r="B457" s="577" t="s">
        <v>95</v>
      </c>
      <c r="C457" s="387">
        <f>+'C-SH-6A ConsCombFloPesq,04-21'!C459/42</f>
        <v>1626.1904761904761</v>
      </c>
      <c r="D457" s="387">
        <f>+'C-SH-6A ConsCombFloPesq,04-21'!D459/42</f>
        <v>9846.2619047619046</v>
      </c>
      <c r="E457" s="387">
        <f>+'C-SH-6A ConsCombFloPesq,04-21'!E459/42</f>
        <v>0</v>
      </c>
      <c r="F457" s="387">
        <f>+'C-SH-6A ConsCombFloPesq,04-21'!F459/42</f>
        <v>0</v>
      </c>
      <c r="G457" s="387">
        <f>+'C-SH-6A ConsCombFloPesq,04-21'!G459/42</f>
        <v>67.857142857142861</v>
      </c>
      <c r="H457" s="387">
        <f>+'C-SH-6A ConsCombFloPesq,04-21'!H459/42</f>
        <v>98.38095238095238</v>
      </c>
      <c r="I457" s="387">
        <f>+'C-SH-6A ConsCombFloPesq,04-21'!I459/42</f>
        <v>11638.690476190477</v>
      </c>
    </row>
    <row r="458" spans="2:9" ht="15" customHeight="1" x14ac:dyDescent="0.25">
      <c r="B458" s="577" t="s">
        <v>96</v>
      </c>
      <c r="C458" s="387">
        <f>+'C-SH-6A ConsCombFloPesq,04-21'!C460/42</f>
        <v>1130.952380952381</v>
      </c>
      <c r="D458" s="387">
        <f>+'C-SH-6A ConsCombFloPesq,04-21'!D460/42</f>
        <v>6019.5</v>
      </c>
      <c r="E458" s="387">
        <f>+'C-SH-6A ConsCombFloPesq,04-21'!E460/42</f>
        <v>0</v>
      </c>
      <c r="F458" s="387">
        <f>+'C-SH-6A ConsCombFloPesq,04-21'!F460/42</f>
        <v>0</v>
      </c>
      <c r="G458" s="387">
        <f>+'C-SH-6A ConsCombFloPesq,04-21'!G460/42</f>
        <v>35.714285714285715</v>
      </c>
      <c r="H458" s="387">
        <f>+'C-SH-6A ConsCombFloPesq,04-21'!H460/42</f>
        <v>98.428571428571431</v>
      </c>
      <c r="I458" s="387">
        <f>+'C-SH-6A ConsCombFloPesq,04-21'!I460/42</f>
        <v>7284.5952380952385</v>
      </c>
    </row>
    <row r="459" spans="2:9" ht="15" customHeight="1" x14ac:dyDescent="0.25">
      <c r="B459" s="577" t="s">
        <v>97</v>
      </c>
      <c r="C459" s="387">
        <f>+'C-SH-6A ConsCombFloPesq,04-21'!C461/42</f>
        <v>1352.3809523809523</v>
      </c>
      <c r="D459" s="387">
        <f>+'C-SH-6A ConsCombFloPesq,04-21'!D461/42</f>
        <v>5744.2857142857147</v>
      </c>
      <c r="E459" s="387">
        <f>+'C-SH-6A ConsCombFloPesq,04-21'!E461/42</f>
        <v>0</v>
      </c>
      <c r="F459" s="387">
        <f>+'C-SH-6A ConsCombFloPesq,04-21'!F461/42</f>
        <v>0</v>
      </c>
      <c r="G459" s="387">
        <f>+'C-SH-6A ConsCombFloPesq,04-21'!G461/42</f>
        <v>0</v>
      </c>
      <c r="H459" s="387">
        <f>+'C-SH-6A ConsCombFloPesq,04-21'!H461/42</f>
        <v>31.11904761904762</v>
      </c>
      <c r="I459" s="387">
        <f>+'C-SH-6A ConsCombFloPesq,04-21'!I461/42</f>
        <v>7127.7857142857147</v>
      </c>
    </row>
    <row r="460" spans="2:9" ht="15" customHeight="1" x14ac:dyDescent="0.25">
      <c r="B460" s="570" t="s">
        <v>141</v>
      </c>
      <c r="C460" s="380">
        <f t="shared" ref="C460:H460" si="66">SUM(C457:C459)</f>
        <v>4109.5238095238092</v>
      </c>
      <c r="D460" s="380">
        <f t="shared" si="66"/>
        <v>21610.047619047618</v>
      </c>
      <c r="E460" s="380">
        <f t="shared" si="66"/>
        <v>0</v>
      </c>
      <c r="F460" s="380">
        <f t="shared" si="66"/>
        <v>0</v>
      </c>
      <c r="G460" s="380">
        <f t="shared" si="66"/>
        <v>103.57142857142858</v>
      </c>
      <c r="H460" s="380">
        <f t="shared" si="66"/>
        <v>227.92857142857142</v>
      </c>
      <c r="I460" s="380">
        <f>+C460+D460+E460+F460+G460+H460</f>
        <v>26051.071428571428</v>
      </c>
    </row>
    <row r="461" spans="2:9" ht="15" customHeight="1" thickBot="1" x14ac:dyDescent="0.3">
      <c r="B461" s="593"/>
      <c r="C461" s="381"/>
      <c r="D461" s="381"/>
      <c r="E461" s="381"/>
      <c r="F461" s="381"/>
      <c r="G461" s="381"/>
      <c r="H461" s="381"/>
      <c r="I461" s="389"/>
    </row>
    <row r="462" spans="2:9" ht="15" customHeight="1" x14ac:dyDescent="0.25">
      <c r="B462" s="14" t="s">
        <v>23</v>
      </c>
      <c r="C462" s="14"/>
      <c r="D462" s="14"/>
      <c r="E462" s="6"/>
      <c r="F462" s="6"/>
      <c r="G462" s="6"/>
      <c r="H462" s="6"/>
      <c r="I462" s="6"/>
    </row>
    <row r="463" spans="2:9" ht="15" customHeight="1" x14ac:dyDescent="0.25">
      <c r="B463" s="41"/>
      <c r="C463" s="41"/>
      <c r="D463" s="41"/>
      <c r="E463" s="41"/>
      <c r="F463" s="41"/>
      <c r="G463" s="41"/>
      <c r="H463" s="41"/>
      <c r="I463" s="41"/>
    </row>
    <row r="464" spans="2:9" ht="15" customHeight="1" x14ac:dyDescent="0.25">
      <c r="B464" s="864" t="s">
        <v>137</v>
      </c>
      <c r="C464" s="864"/>
      <c r="D464" s="864"/>
      <c r="E464" s="864"/>
      <c r="F464" s="864"/>
      <c r="G464" s="864"/>
      <c r="H464" s="864"/>
      <c r="I464" s="864"/>
    </row>
    <row r="465" spans="2:9" ht="15" customHeight="1" x14ac:dyDescent="0.25">
      <c r="B465" s="864">
        <v>2006</v>
      </c>
      <c r="C465" s="864"/>
      <c r="D465" s="864"/>
      <c r="E465" s="864"/>
      <c r="F465" s="864"/>
      <c r="G465" s="864"/>
      <c r="H465" s="864"/>
      <c r="I465" s="864"/>
    </row>
    <row r="466" spans="2:9" ht="15" customHeight="1" thickBot="1" x14ac:dyDescent="0.3">
      <c r="B466" s="929" t="s">
        <v>27</v>
      </c>
      <c r="C466" s="929"/>
      <c r="D466" s="929"/>
      <c r="E466" s="929"/>
      <c r="F466" s="929"/>
      <c r="G466" s="929"/>
      <c r="H466" s="929"/>
      <c r="I466" s="929"/>
    </row>
    <row r="467" spans="2:9" ht="24.9" customHeight="1" thickBot="1" x14ac:dyDescent="0.3">
      <c r="B467" s="594" t="s">
        <v>100</v>
      </c>
      <c r="C467" s="595" t="s">
        <v>52</v>
      </c>
      <c r="D467" s="595" t="s">
        <v>123</v>
      </c>
      <c r="E467" s="595" t="s">
        <v>79</v>
      </c>
      <c r="F467" s="595" t="s">
        <v>181</v>
      </c>
      <c r="G467" s="595" t="s">
        <v>131</v>
      </c>
      <c r="H467" s="595" t="s">
        <v>84</v>
      </c>
      <c r="I467" s="595" t="s">
        <v>78</v>
      </c>
    </row>
    <row r="468" spans="2:9" ht="15" customHeight="1" x14ac:dyDescent="0.25">
      <c r="B468" s="574"/>
      <c r="C468" s="377"/>
      <c r="D468" s="377"/>
      <c r="E468" s="378"/>
      <c r="F468" s="378"/>
      <c r="G468" s="378"/>
      <c r="H468" s="378"/>
      <c r="I468" s="379"/>
    </row>
    <row r="469" spans="2:9" ht="15" customHeight="1" x14ac:dyDescent="0.25">
      <c r="B469" s="570" t="s">
        <v>103</v>
      </c>
      <c r="C469" s="380">
        <f t="shared" ref="C469:I469" si="67">+C475+C480+C485+C490</f>
        <v>16821.071428571428</v>
      </c>
      <c r="D469" s="380">
        <f t="shared" si="67"/>
        <v>83444.452380952382</v>
      </c>
      <c r="E469" s="380">
        <f t="shared" si="67"/>
        <v>1864.8571428571429</v>
      </c>
      <c r="F469" s="380">
        <f t="shared" si="67"/>
        <v>15957.142857142859</v>
      </c>
      <c r="G469" s="380">
        <f t="shared" si="67"/>
        <v>2086.9047619047624</v>
      </c>
      <c r="H469" s="380">
        <f t="shared" si="67"/>
        <v>1448.7823809523809</v>
      </c>
      <c r="I469" s="380">
        <f t="shared" si="67"/>
        <v>121623.21095238096</v>
      </c>
    </row>
    <row r="470" spans="2:9" ht="15" customHeight="1" thickBot="1" x14ac:dyDescent="0.3">
      <c r="B470" s="593"/>
      <c r="C470" s="381"/>
      <c r="D470" s="381"/>
      <c r="E470" s="382"/>
      <c r="F470" s="382"/>
      <c r="G470" s="382"/>
      <c r="H470" s="382"/>
      <c r="I470" s="383"/>
    </row>
    <row r="471" spans="2:9" ht="15" customHeight="1" x14ac:dyDescent="0.25">
      <c r="B471" s="579"/>
      <c r="C471" s="384"/>
      <c r="D471" s="384"/>
      <c r="E471" s="385"/>
      <c r="F471" s="385"/>
      <c r="G471" s="385"/>
      <c r="H471" s="385"/>
      <c r="I471" s="386"/>
    </row>
    <row r="472" spans="2:9" ht="15" customHeight="1" x14ac:dyDescent="0.25">
      <c r="B472" s="577" t="s">
        <v>86</v>
      </c>
      <c r="C472" s="387">
        <f>+'C-SH-6A ConsCombFloPesq,04-21'!C474/42</f>
        <v>1183.3333333333333</v>
      </c>
      <c r="D472" s="387">
        <f>+'C-SH-6A ConsCombFloPesq,04-21'!D474/42</f>
        <v>5794.5476190476193</v>
      </c>
      <c r="E472" s="387">
        <f>+'C-SH-6A ConsCombFloPesq,04-21'!E474/42</f>
        <v>0</v>
      </c>
      <c r="F472" s="387">
        <f>+'C-SH-6A ConsCombFloPesq,04-21'!F474/42</f>
        <v>0</v>
      </c>
      <c r="G472" s="387">
        <f>+'C-SH-6A ConsCombFloPesq,04-21'!G474/42</f>
        <v>190.47619047619048</v>
      </c>
      <c r="H472" s="387">
        <f>+'C-SH-6A ConsCombFloPesq,04-21'!H474/42</f>
        <v>138.18714285714285</v>
      </c>
      <c r="I472" s="387">
        <f>+'C-SH-6A ConsCombFloPesq,04-21'!I474/42</f>
        <v>7306.5442857142853</v>
      </c>
    </row>
    <row r="473" spans="2:9" ht="15" customHeight="1" x14ac:dyDescent="0.25">
      <c r="B473" s="577" t="s">
        <v>87</v>
      </c>
      <c r="C473" s="387">
        <f>+'C-SH-6A ConsCombFloPesq,04-21'!C475/42</f>
        <v>1130.4761904761904</v>
      </c>
      <c r="D473" s="387">
        <f>+'C-SH-6A ConsCombFloPesq,04-21'!D475/42</f>
        <v>2759.3809523809523</v>
      </c>
      <c r="E473" s="387">
        <f>+'C-SH-6A ConsCombFloPesq,04-21'!E475/42</f>
        <v>119.04761904761905</v>
      </c>
      <c r="F473" s="387">
        <f>+'C-SH-6A ConsCombFloPesq,04-21'!F475/42</f>
        <v>0</v>
      </c>
      <c r="G473" s="387">
        <f>+'C-SH-6A ConsCombFloPesq,04-21'!G475/42</f>
        <v>259.52380952380952</v>
      </c>
      <c r="H473" s="387">
        <f>+'C-SH-6A ConsCombFloPesq,04-21'!H475/42</f>
        <v>25.714285714285715</v>
      </c>
      <c r="I473" s="387">
        <f>+'C-SH-6A ConsCombFloPesq,04-21'!I475/42</f>
        <v>4294.1428571428569</v>
      </c>
    </row>
    <row r="474" spans="2:9" ht="15" customHeight="1" x14ac:dyDescent="0.25">
      <c r="B474" s="577" t="s">
        <v>88</v>
      </c>
      <c r="C474" s="387">
        <f>+'C-SH-6A ConsCombFloPesq,04-21'!C476/42</f>
        <v>1461.6666666666667</v>
      </c>
      <c r="D474" s="387">
        <f>+'C-SH-6A ConsCombFloPesq,04-21'!D476/42</f>
        <v>4212.1428571428569</v>
      </c>
      <c r="E474" s="387">
        <f>+'C-SH-6A ConsCombFloPesq,04-21'!E476/42</f>
        <v>1271.952380952381</v>
      </c>
      <c r="F474" s="387">
        <f>+'C-SH-6A ConsCombFloPesq,04-21'!F476/42</f>
        <v>0</v>
      </c>
      <c r="G474" s="387">
        <f>+'C-SH-6A ConsCombFloPesq,04-21'!G476/42</f>
        <v>294.76190476190476</v>
      </c>
      <c r="H474" s="387">
        <f>+'C-SH-6A ConsCombFloPesq,04-21'!H476/42</f>
        <v>9.3333333333333339</v>
      </c>
      <c r="I474" s="387">
        <f>+'C-SH-6A ConsCombFloPesq,04-21'!I476/42</f>
        <v>7249.8571428571431</v>
      </c>
    </row>
    <row r="475" spans="2:9" ht="15" customHeight="1" x14ac:dyDescent="0.25">
      <c r="B475" s="570" t="s">
        <v>138</v>
      </c>
      <c r="C475" s="380">
        <f t="shared" ref="C475:H475" si="68">SUM(C472:C474)</f>
        <v>3775.4761904761908</v>
      </c>
      <c r="D475" s="380">
        <f t="shared" si="68"/>
        <v>12766.071428571429</v>
      </c>
      <c r="E475" s="380">
        <f t="shared" si="68"/>
        <v>1391</v>
      </c>
      <c r="F475" s="380">
        <f t="shared" si="68"/>
        <v>0</v>
      </c>
      <c r="G475" s="380">
        <f t="shared" si="68"/>
        <v>744.76190476190482</v>
      </c>
      <c r="H475" s="380">
        <f t="shared" si="68"/>
        <v>173.23476190476191</v>
      </c>
      <c r="I475" s="380">
        <f>+C475+D475+E475+F475+G475+H475</f>
        <v>18850.544285714284</v>
      </c>
    </row>
    <row r="476" spans="2:9" ht="15" customHeight="1" x14ac:dyDescent="0.25">
      <c r="B476" s="577"/>
      <c r="C476" s="387"/>
      <c r="D476" s="387"/>
      <c r="E476" s="387"/>
      <c r="F476" s="387"/>
      <c r="G476" s="387"/>
      <c r="H476" s="387"/>
      <c r="I476" s="388"/>
    </row>
    <row r="477" spans="2:9" ht="15" customHeight="1" x14ac:dyDescent="0.25">
      <c r="B477" s="577" t="s">
        <v>89</v>
      </c>
      <c r="C477" s="387">
        <f>+'C-SH-6A ConsCombFloPesq,04-21'!C479/42</f>
        <v>1994.1666666666667</v>
      </c>
      <c r="D477" s="387">
        <f>+'C-SH-6A ConsCombFloPesq,04-21'!D479/42</f>
        <v>13268.5</v>
      </c>
      <c r="E477" s="387">
        <f>+'C-SH-6A ConsCombFloPesq,04-21'!E479/42</f>
        <v>321.47619047619048</v>
      </c>
      <c r="F477" s="387">
        <f>+'C-SH-6A ConsCombFloPesq,04-21'!F479/42</f>
        <v>3866.6666666666665</v>
      </c>
      <c r="G477" s="387">
        <f>+'C-SH-6A ConsCombFloPesq,04-21'!G479/42</f>
        <v>47.142857142857146</v>
      </c>
      <c r="H477" s="387">
        <f>+'C-SH-6A ConsCombFloPesq,04-21'!H479/42</f>
        <v>140.97619047619048</v>
      </c>
      <c r="I477" s="387">
        <f>+'C-SH-6A ConsCombFloPesq,04-21'!I479/42</f>
        <v>19638.928571428572</v>
      </c>
    </row>
    <row r="478" spans="2:9" ht="15" customHeight="1" x14ac:dyDescent="0.25">
      <c r="B478" s="577" t="s">
        <v>90</v>
      </c>
      <c r="C478" s="387">
        <f>+'C-SH-6A ConsCombFloPesq,04-21'!C480/42</f>
        <v>1194.7619047619048</v>
      </c>
      <c r="D478" s="387">
        <f>+'C-SH-6A ConsCombFloPesq,04-21'!D480/42</f>
        <v>8881.7857142857138</v>
      </c>
      <c r="E478" s="387">
        <f>+'C-SH-6A ConsCombFloPesq,04-21'!E480/42</f>
        <v>152.38095238095238</v>
      </c>
      <c r="F478" s="387">
        <f>+'C-SH-6A ConsCombFloPesq,04-21'!F480/42</f>
        <v>5619.0476190476193</v>
      </c>
      <c r="G478" s="387">
        <f>+'C-SH-6A ConsCombFloPesq,04-21'!G480/42</f>
        <v>11.428571428571429</v>
      </c>
      <c r="H478" s="387">
        <f>+'C-SH-6A ConsCombFloPesq,04-21'!H480/42</f>
        <v>111.73809523809524</v>
      </c>
      <c r="I478" s="387">
        <f>+'C-SH-6A ConsCombFloPesq,04-21'!I480/42</f>
        <v>15971.142857142857</v>
      </c>
    </row>
    <row r="479" spans="2:9" ht="15" customHeight="1" x14ac:dyDescent="0.25">
      <c r="B479" s="577" t="s">
        <v>91</v>
      </c>
      <c r="C479" s="387">
        <f>+'C-SH-6A ConsCombFloPesq,04-21'!C481/42</f>
        <v>1403.8095238095239</v>
      </c>
      <c r="D479" s="387">
        <f>+'C-SH-6A ConsCombFloPesq,04-21'!D481/42</f>
        <v>11533.785714285714</v>
      </c>
      <c r="E479" s="387">
        <f>+'C-SH-6A ConsCombFloPesq,04-21'!E481/42</f>
        <v>0</v>
      </c>
      <c r="F479" s="387">
        <f>+'C-SH-6A ConsCombFloPesq,04-21'!F481/42</f>
        <v>3652.3809523809523</v>
      </c>
      <c r="G479" s="387">
        <f>+'C-SH-6A ConsCombFloPesq,04-21'!G481/42</f>
        <v>165.47619047619048</v>
      </c>
      <c r="H479" s="387">
        <f>+'C-SH-6A ConsCombFloPesq,04-21'!H481/42</f>
        <v>306.40476190476193</v>
      </c>
      <c r="I479" s="387">
        <f>+'C-SH-6A ConsCombFloPesq,04-21'!I481/42</f>
        <v>17061.857142857141</v>
      </c>
    </row>
    <row r="480" spans="2:9" ht="15" customHeight="1" x14ac:dyDescent="0.25">
      <c r="B480" s="570" t="s">
        <v>139</v>
      </c>
      <c r="C480" s="380">
        <f t="shared" ref="C480:H480" si="69">SUM(C477:C479)</f>
        <v>4592.7380952380954</v>
      </c>
      <c r="D480" s="380">
        <f t="shared" si="69"/>
        <v>33684.071428571428</v>
      </c>
      <c r="E480" s="380">
        <f t="shared" si="69"/>
        <v>473.85714285714289</v>
      </c>
      <c r="F480" s="380">
        <f t="shared" si="69"/>
        <v>13138.095238095239</v>
      </c>
      <c r="G480" s="380">
        <f t="shared" si="69"/>
        <v>224.04761904761907</v>
      </c>
      <c r="H480" s="380">
        <f t="shared" si="69"/>
        <v>559.11904761904771</v>
      </c>
      <c r="I480" s="380">
        <f>+C480+D480+E480+F480+G480+H480</f>
        <v>52671.928571428572</v>
      </c>
    </row>
    <row r="481" spans="2:9" ht="15" customHeight="1" x14ac:dyDescent="0.25">
      <c r="B481" s="577"/>
      <c r="C481" s="387"/>
      <c r="D481" s="387"/>
      <c r="E481" s="387"/>
      <c r="F481" s="387"/>
      <c r="G481" s="387"/>
      <c r="H481" s="387"/>
      <c r="I481" s="388"/>
    </row>
    <row r="482" spans="2:9" ht="15" customHeight="1" x14ac:dyDescent="0.25">
      <c r="B482" s="577" t="s">
        <v>93</v>
      </c>
      <c r="C482" s="387">
        <f>+'C-SH-6A ConsCombFloPesq,04-21'!C484/42</f>
        <v>1480.4761904761904</v>
      </c>
      <c r="D482" s="387">
        <f>+'C-SH-6A ConsCombFloPesq,04-21'!D484/42</f>
        <v>9973.0476190476184</v>
      </c>
      <c r="E482" s="387">
        <f>+'C-SH-6A ConsCombFloPesq,04-21'!E484/42</f>
        <v>0</v>
      </c>
      <c r="F482" s="387">
        <f>+'C-SH-6A ConsCombFloPesq,04-21'!F484/42</f>
        <v>2819.0476190476193</v>
      </c>
      <c r="G482" s="387">
        <f>+'C-SH-6A ConsCombFloPesq,04-21'!G484/42</f>
        <v>267.38095238095241</v>
      </c>
      <c r="H482" s="387">
        <f>+'C-SH-6A ConsCombFloPesq,04-21'!H484/42</f>
        <v>170.14285714285714</v>
      </c>
      <c r="I482" s="387">
        <f>+'C-SH-6A ConsCombFloPesq,04-21'!I484/42</f>
        <v>14710.095238095239</v>
      </c>
    </row>
    <row r="483" spans="2:9" ht="15" customHeight="1" x14ac:dyDescent="0.25">
      <c r="B483" s="577" t="s">
        <v>94</v>
      </c>
      <c r="C483" s="387">
        <f>+'C-SH-6A ConsCombFloPesq,04-21'!C485/42</f>
        <v>1277.3809523809523</v>
      </c>
      <c r="D483" s="387">
        <f>+'C-SH-6A ConsCombFloPesq,04-21'!D485/42</f>
        <v>7033.4285714285716</v>
      </c>
      <c r="E483" s="387">
        <f>+'C-SH-6A ConsCombFloPesq,04-21'!E485/42</f>
        <v>0</v>
      </c>
      <c r="F483" s="387">
        <f>+'C-SH-6A ConsCombFloPesq,04-21'!F485/42</f>
        <v>0</v>
      </c>
      <c r="G483" s="387">
        <f>+'C-SH-6A ConsCombFloPesq,04-21'!G485/42</f>
        <v>119.04761904761905</v>
      </c>
      <c r="H483" s="387">
        <f>+'C-SH-6A ConsCombFloPesq,04-21'!H485/42</f>
        <v>163.66666666666666</v>
      </c>
      <c r="I483" s="387">
        <f>+'C-SH-6A ConsCombFloPesq,04-21'!I485/42</f>
        <v>8593.5238095238092</v>
      </c>
    </row>
    <row r="484" spans="2:9" ht="15" customHeight="1" x14ac:dyDescent="0.25">
      <c r="B484" s="577" t="s">
        <v>101</v>
      </c>
      <c r="C484" s="387">
        <f>+'C-SH-6A ConsCombFloPesq,04-21'!C486/42</f>
        <v>1416.1904761904761</v>
      </c>
      <c r="D484" s="387">
        <f>+'C-SH-6A ConsCombFloPesq,04-21'!D486/42</f>
        <v>3786.5714285714284</v>
      </c>
      <c r="E484" s="387">
        <f>+'C-SH-6A ConsCombFloPesq,04-21'!E486/42</f>
        <v>0</v>
      </c>
      <c r="F484" s="387">
        <f>+'C-SH-6A ConsCombFloPesq,04-21'!F486/42</f>
        <v>0</v>
      </c>
      <c r="G484" s="387">
        <f>+'C-SH-6A ConsCombFloPesq,04-21'!G486/42</f>
        <v>201.9047619047619</v>
      </c>
      <c r="H484" s="387">
        <f>+'C-SH-6A ConsCombFloPesq,04-21'!H486/42</f>
        <v>87.833333333333329</v>
      </c>
      <c r="I484" s="387">
        <f>+'C-SH-6A ConsCombFloPesq,04-21'!I486/42</f>
        <v>5492.5</v>
      </c>
    </row>
    <row r="485" spans="2:9" ht="15" customHeight="1" x14ac:dyDescent="0.25">
      <c r="B485" s="570" t="s">
        <v>140</v>
      </c>
      <c r="C485" s="380">
        <f t="shared" ref="C485:H485" si="70">SUM(C482:C484)</f>
        <v>4174.0476190476184</v>
      </c>
      <c r="D485" s="380">
        <f t="shared" si="70"/>
        <v>20793.047619047618</v>
      </c>
      <c r="E485" s="380">
        <f t="shared" si="70"/>
        <v>0</v>
      </c>
      <c r="F485" s="380">
        <f t="shared" si="70"/>
        <v>2819.0476190476193</v>
      </c>
      <c r="G485" s="380">
        <f t="shared" si="70"/>
        <v>588.33333333333337</v>
      </c>
      <c r="H485" s="380">
        <f t="shared" si="70"/>
        <v>421.64285714285711</v>
      </c>
      <c r="I485" s="380">
        <f>+C485+D485+E485+F485+G485+H485</f>
        <v>28796.119047619046</v>
      </c>
    </row>
    <row r="486" spans="2:9" ht="15" customHeight="1" x14ac:dyDescent="0.25">
      <c r="B486" s="577"/>
      <c r="C486" s="387"/>
      <c r="D486" s="387"/>
      <c r="E486" s="387"/>
      <c r="F486" s="387"/>
      <c r="G486" s="387"/>
      <c r="H486" s="387"/>
      <c r="I486" s="388"/>
    </row>
    <row r="487" spans="2:9" ht="15" customHeight="1" x14ac:dyDescent="0.25">
      <c r="B487" s="577" t="s">
        <v>95</v>
      </c>
      <c r="C487" s="387">
        <f>+'C-SH-6A ConsCombFloPesq,04-21'!C489/42</f>
        <v>1273.8095238095239</v>
      </c>
      <c r="D487" s="387">
        <f>+'C-SH-6A ConsCombFloPesq,04-21'!D489/42</f>
        <v>7453.2142857142853</v>
      </c>
      <c r="E487" s="387">
        <f>+'C-SH-6A ConsCombFloPesq,04-21'!E489/42</f>
        <v>0</v>
      </c>
      <c r="F487" s="387">
        <f>+'C-SH-6A ConsCombFloPesq,04-21'!F489/42</f>
        <v>0</v>
      </c>
      <c r="G487" s="387">
        <f>+'C-SH-6A ConsCombFloPesq,04-21'!G489/42</f>
        <v>255.95238095238096</v>
      </c>
      <c r="H487" s="387">
        <f>+'C-SH-6A ConsCombFloPesq,04-21'!H489/42</f>
        <v>157.42857142857142</v>
      </c>
      <c r="I487" s="387">
        <f>+'C-SH-6A ConsCombFloPesq,04-21'!I489/42</f>
        <v>9140.4047619047615</v>
      </c>
    </row>
    <row r="488" spans="2:9" ht="15" customHeight="1" x14ac:dyDescent="0.25">
      <c r="B488" s="577" t="s">
        <v>96</v>
      </c>
      <c r="C488" s="387">
        <f>+'C-SH-6A ConsCombFloPesq,04-21'!C490/42</f>
        <v>1421.4285714285713</v>
      </c>
      <c r="D488" s="387">
        <f>+'C-SH-6A ConsCombFloPesq,04-21'!D490/42</f>
        <v>5181.3571428571431</v>
      </c>
      <c r="E488" s="387">
        <f>+'C-SH-6A ConsCombFloPesq,04-21'!E490/42</f>
        <v>0</v>
      </c>
      <c r="F488" s="387">
        <f>+'C-SH-6A ConsCombFloPesq,04-21'!F490/42</f>
        <v>0</v>
      </c>
      <c r="G488" s="387">
        <f>+'C-SH-6A ConsCombFloPesq,04-21'!G490/42</f>
        <v>125</v>
      </c>
      <c r="H488" s="387">
        <f>+'C-SH-6A ConsCombFloPesq,04-21'!H490/42</f>
        <v>84.047619047619051</v>
      </c>
      <c r="I488" s="387">
        <f>+'C-SH-6A ConsCombFloPesq,04-21'!I490/42</f>
        <v>6811.833333333333</v>
      </c>
    </row>
    <row r="489" spans="2:9" ht="15" customHeight="1" x14ac:dyDescent="0.25">
      <c r="B489" s="577" t="s">
        <v>97</v>
      </c>
      <c r="C489" s="387">
        <f>+'C-SH-6A ConsCombFloPesq,04-21'!C491/42</f>
        <v>1583.5714285714287</v>
      </c>
      <c r="D489" s="387">
        <f>+'C-SH-6A ConsCombFloPesq,04-21'!D491/42</f>
        <v>3566.6904761904761</v>
      </c>
      <c r="E489" s="387">
        <f>+'C-SH-6A ConsCombFloPesq,04-21'!E491/42</f>
        <v>0</v>
      </c>
      <c r="F489" s="387">
        <f>+'C-SH-6A ConsCombFloPesq,04-21'!F491/42</f>
        <v>0</v>
      </c>
      <c r="G489" s="387">
        <f>+'C-SH-6A ConsCombFloPesq,04-21'!G491/42</f>
        <v>148.8095238095238</v>
      </c>
      <c r="H489" s="387">
        <f>+'C-SH-6A ConsCombFloPesq,04-21'!H491/42</f>
        <v>53.30952380952381</v>
      </c>
      <c r="I489" s="387">
        <f>+'C-SH-6A ConsCombFloPesq,04-21'!I491/42</f>
        <v>5352.3809523809523</v>
      </c>
    </row>
    <row r="490" spans="2:9" ht="15" customHeight="1" x14ac:dyDescent="0.25">
      <c r="B490" s="570" t="s">
        <v>141</v>
      </c>
      <c r="C490" s="380">
        <f t="shared" ref="C490:H490" si="71">SUM(C487:C489)</f>
        <v>4278.8095238095239</v>
      </c>
      <c r="D490" s="380">
        <f t="shared" si="71"/>
        <v>16201.261904761905</v>
      </c>
      <c r="E490" s="380">
        <f t="shared" si="71"/>
        <v>0</v>
      </c>
      <c r="F490" s="380">
        <f t="shared" si="71"/>
        <v>0</v>
      </c>
      <c r="G490" s="380">
        <f t="shared" si="71"/>
        <v>529.76190476190482</v>
      </c>
      <c r="H490" s="380">
        <f t="shared" si="71"/>
        <v>294.78571428571428</v>
      </c>
      <c r="I490" s="380">
        <f>+C490+D490+E490+F490+G490+H490</f>
        <v>21304.619047619046</v>
      </c>
    </row>
    <row r="491" spans="2:9" ht="15" customHeight="1" thickBot="1" x14ac:dyDescent="0.3">
      <c r="B491" s="593"/>
      <c r="C491" s="381"/>
      <c r="D491" s="381"/>
      <c r="E491" s="381"/>
      <c r="F491" s="381"/>
      <c r="G491" s="381"/>
      <c r="H491" s="381"/>
      <c r="I491" s="389"/>
    </row>
    <row r="492" spans="2:9" ht="15" customHeight="1" x14ac:dyDescent="0.25">
      <c r="B492" s="14" t="s">
        <v>23</v>
      </c>
      <c r="C492" s="14"/>
      <c r="D492" s="14"/>
      <c r="E492" s="6"/>
      <c r="F492" s="6"/>
      <c r="G492" s="6"/>
      <c r="H492" s="6"/>
      <c r="I492" s="6"/>
    </row>
    <row r="493" spans="2:9" ht="15" customHeight="1" x14ac:dyDescent="0.25">
      <c r="B493" s="14"/>
      <c r="C493" s="14"/>
      <c r="D493" s="14"/>
      <c r="E493" s="6"/>
      <c r="F493" s="6"/>
      <c r="G493" s="6"/>
      <c r="H493" s="6"/>
      <c r="I493" s="6"/>
    </row>
    <row r="494" spans="2:9" ht="15" customHeight="1" x14ac:dyDescent="0.25">
      <c r="B494" s="864" t="s">
        <v>137</v>
      </c>
      <c r="C494" s="864"/>
      <c r="D494" s="864"/>
      <c r="E494" s="864"/>
      <c r="F494" s="864"/>
      <c r="G494" s="864"/>
      <c r="H494" s="864"/>
      <c r="I494" s="864"/>
    </row>
    <row r="495" spans="2:9" ht="15" customHeight="1" x14ac:dyDescent="0.25">
      <c r="B495" s="864">
        <v>2005</v>
      </c>
      <c r="C495" s="864"/>
      <c r="D495" s="864"/>
      <c r="E495" s="864"/>
      <c r="F495" s="864"/>
      <c r="G495" s="864"/>
      <c r="H495" s="864"/>
      <c r="I495" s="864"/>
    </row>
    <row r="496" spans="2:9" ht="15" customHeight="1" thickBot="1" x14ac:dyDescent="0.3">
      <c r="B496" s="929" t="s">
        <v>27</v>
      </c>
      <c r="C496" s="929"/>
      <c r="D496" s="929"/>
      <c r="E496" s="929"/>
      <c r="F496" s="929"/>
      <c r="G496" s="929"/>
      <c r="H496" s="929"/>
      <c r="I496" s="929"/>
    </row>
    <row r="497" spans="2:9" ht="24.9" customHeight="1" thickBot="1" x14ac:dyDescent="0.3">
      <c r="B497" s="594" t="s">
        <v>100</v>
      </c>
      <c r="C497" s="595" t="s">
        <v>52</v>
      </c>
      <c r="D497" s="595" t="s">
        <v>123</v>
      </c>
      <c r="E497" s="595" t="s">
        <v>79</v>
      </c>
      <c r="F497" s="595" t="s">
        <v>181</v>
      </c>
      <c r="G497" s="595" t="s">
        <v>131</v>
      </c>
      <c r="H497" s="595" t="s">
        <v>84</v>
      </c>
      <c r="I497" s="595" t="s">
        <v>78</v>
      </c>
    </row>
    <row r="498" spans="2:9" ht="15" customHeight="1" x14ac:dyDescent="0.25">
      <c r="B498" s="574"/>
      <c r="C498" s="377"/>
      <c r="D498" s="377"/>
      <c r="E498" s="378"/>
      <c r="F498" s="378"/>
      <c r="G498" s="378"/>
      <c r="H498" s="378"/>
      <c r="I498" s="379"/>
    </row>
    <row r="499" spans="2:9" ht="15" customHeight="1" x14ac:dyDescent="0.25">
      <c r="B499" s="570" t="s">
        <v>103</v>
      </c>
      <c r="C499" s="380">
        <f t="shared" ref="C499:I499" si="72">+C505+C510+C515+C520</f>
        <v>27002.690476190473</v>
      </c>
      <c r="D499" s="380">
        <f t="shared" si="72"/>
        <v>117678.1</v>
      </c>
      <c r="E499" s="380">
        <f t="shared" si="72"/>
        <v>352.38095238095241</v>
      </c>
      <c r="F499" s="380">
        <f t="shared" si="72"/>
        <v>30076.190476190481</v>
      </c>
      <c r="G499" s="380">
        <f t="shared" si="72"/>
        <v>4185.1190476190477</v>
      </c>
      <c r="H499" s="380">
        <f t="shared" si="72"/>
        <v>378.88095238095241</v>
      </c>
      <c r="I499" s="380">
        <f t="shared" si="72"/>
        <v>179673.36190476193</v>
      </c>
    </row>
    <row r="500" spans="2:9" ht="15" customHeight="1" thickBot="1" x14ac:dyDescent="0.3">
      <c r="B500" s="593"/>
      <c r="C500" s="381"/>
      <c r="D500" s="381"/>
      <c r="E500" s="382"/>
      <c r="F500" s="382"/>
      <c r="G500" s="382"/>
      <c r="H500" s="382"/>
      <c r="I500" s="383"/>
    </row>
    <row r="501" spans="2:9" ht="15" customHeight="1" x14ac:dyDescent="0.25">
      <c r="B501" s="579"/>
      <c r="C501" s="384"/>
      <c r="D501" s="384"/>
      <c r="E501" s="385"/>
      <c r="F501" s="385"/>
      <c r="G501" s="385"/>
      <c r="H501" s="385"/>
      <c r="I501" s="386"/>
    </row>
    <row r="502" spans="2:9" ht="15" customHeight="1" x14ac:dyDescent="0.25">
      <c r="B502" s="577" t="s">
        <v>86</v>
      </c>
      <c r="C502" s="387">
        <f>'C-SH-6A ConsCombFloPesq,04-21'!C504/42</f>
        <v>2239.2857142857142</v>
      </c>
      <c r="D502" s="387">
        <f>'C-SH-6A ConsCombFloPesq,04-21'!D504/42</f>
        <v>4999.9809523809527</v>
      </c>
      <c r="E502" s="387"/>
      <c r="F502" s="387"/>
      <c r="G502" s="387">
        <f>'C-SH-6A ConsCombFloPesq,04-21'!G504/42</f>
        <v>401.1904761904762</v>
      </c>
      <c r="H502" s="387">
        <f>'C-SH-6A ConsCombFloPesq,04-21'!H504/42</f>
        <v>11.619047619047619</v>
      </c>
      <c r="I502" s="388">
        <f>'C-SH-6A ConsCombFloPesq,04-21'!I504/42</f>
        <v>7652.0761904761912</v>
      </c>
    </row>
    <row r="503" spans="2:9" ht="15" customHeight="1" x14ac:dyDescent="0.25">
      <c r="B503" s="577" t="s">
        <v>87</v>
      </c>
      <c r="C503" s="387">
        <f>'C-SH-6A ConsCombFloPesq,04-21'!C505/42</f>
        <v>1758.3333333333333</v>
      </c>
      <c r="D503" s="387">
        <f>'C-SH-6A ConsCombFloPesq,04-21'!D505/42</f>
        <v>5128.5714285714284</v>
      </c>
      <c r="E503" s="387">
        <f>'C-SH-6A ConsCombFloPesq,04-21'!E505/42</f>
        <v>119.04761904761905</v>
      </c>
      <c r="F503" s="387"/>
      <c r="G503" s="387">
        <f>'C-SH-6A ConsCombFloPesq,04-21'!G505/42</f>
        <v>525</v>
      </c>
      <c r="H503" s="387">
        <f>'C-SH-6A ConsCombFloPesq,04-21'!H505/42</f>
        <v>23.452380952380953</v>
      </c>
      <c r="I503" s="388">
        <f>'C-SH-6A ConsCombFloPesq,04-21'!I505/42</f>
        <v>7554.4047619047615</v>
      </c>
    </row>
    <row r="504" spans="2:9" ht="15" customHeight="1" x14ac:dyDescent="0.25">
      <c r="B504" s="577" t="s">
        <v>88</v>
      </c>
      <c r="C504" s="387">
        <f>'C-SH-6A ConsCombFloPesq,04-21'!C506/42</f>
        <v>3350</v>
      </c>
      <c r="D504" s="387">
        <f>'C-SH-6A ConsCombFloPesq,04-21'!D506/42</f>
        <v>7294.4047619047615</v>
      </c>
      <c r="E504" s="387">
        <f>'C-SH-6A ConsCombFloPesq,04-21'!E506/42</f>
        <v>233.33333333333334</v>
      </c>
      <c r="F504" s="387">
        <f>'C-SH-6A ConsCombFloPesq,04-21'!F506/42</f>
        <v>528.57142857142856</v>
      </c>
      <c r="G504" s="387">
        <f>'C-SH-6A ConsCombFloPesq,04-21'!G506/42</f>
        <v>606.54761904761904</v>
      </c>
      <c r="H504" s="387">
        <f>'C-SH-6A ConsCombFloPesq,04-21'!H506/42</f>
        <v>77.785714285714292</v>
      </c>
      <c r="I504" s="388">
        <f>'C-SH-6A ConsCombFloPesq,04-21'!I506/42</f>
        <v>12090.642857142857</v>
      </c>
    </row>
    <row r="505" spans="2:9" ht="15" customHeight="1" x14ac:dyDescent="0.25">
      <c r="B505" s="570" t="s">
        <v>138</v>
      </c>
      <c r="C505" s="380">
        <f t="shared" ref="C505:H505" si="73">SUM(C502:C504)</f>
        <v>7347.6190476190477</v>
      </c>
      <c r="D505" s="380">
        <f t="shared" si="73"/>
        <v>17422.957142857143</v>
      </c>
      <c r="E505" s="380">
        <f t="shared" si="73"/>
        <v>352.38095238095241</v>
      </c>
      <c r="F505" s="380">
        <f t="shared" si="73"/>
        <v>528.57142857142856</v>
      </c>
      <c r="G505" s="380">
        <f t="shared" si="73"/>
        <v>1532.7380952380952</v>
      </c>
      <c r="H505" s="380">
        <f t="shared" si="73"/>
        <v>112.85714285714286</v>
      </c>
      <c r="I505" s="380">
        <f>+C505+D505+E505+F505+G505+H505</f>
        <v>27297.123809523808</v>
      </c>
    </row>
    <row r="506" spans="2:9" ht="15" customHeight="1" x14ac:dyDescent="0.25">
      <c r="B506" s="577"/>
      <c r="C506" s="387"/>
      <c r="D506" s="387"/>
      <c r="E506" s="387"/>
      <c r="F506" s="387"/>
      <c r="G506" s="387"/>
      <c r="H506" s="387"/>
      <c r="I506" s="388"/>
    </row>
    <row r="507" spans="2:9" ht="15" customHeight="1" x14ac:dyDescent="0.25">
      <c r="B507" s="577" t="s">
        <v>89</v>
      </c>
      <c r="C507" s="387">
        <f>'C-SH-6A ConsCombFloPesq,04-21'!C509/42</f>
        <v>2865.4761904761904</v>
      </c>
      <c r="D507" s="387">
        <f>'C-SH-6A ConsCombFloPesq,04-21'!D509/42</f>
        <v>19668.809523809523</v>
      </c>
      <c r="E507" s="387"/>
      <c r="F507" s="387">
        <f>'C-SH-6A ConsCombFloPesq,04-21'!F509/42</f>
        <v>9590.4761904761908</v>
      </c>
      <c r="G507" s="387">
        <f>'C-SH-6A ConsCombFloPesq,04-21'!G509/42</f>
        <v>309.52380952380952</v>
      </c>
      <c r="H507" s="387">
        <f>'C-SH-6A ConsCombFloPesq,04-21'!H509/42</f>
        <v>34.857142857142854</v>
      </c>
      <c r="I507" s="388">
        <f>'C-SH-6A ConsCombFloPesq,04-21'!I509/42</f>
        <v>32469.142857142859</v>
      </c>
    </row>
    <row r="508" spans="2:9" ht="15" customHeight="1" x14ac:dyDescent="0.25">
      <c r="B508" s="577" t="s">
        <v>90</v>
      </c>
      <c r="C508" s="387">
        <f>'C-SH-6A ConsCombFloPesq,04-21'!C510/42</f>
        <v>3444.0476190476193</v>
      </c>
      <c r="D508" s="387">
        <f>'C-SH-6A ConsCombFloPesq,04-21'!D510/42</f>
        <v>14684.595238095239</v>
      </c>
      <c r="E508" s="387"/>
      <c r="F508" s="387">
        <f>'C-SH-6A ConsCombFloPesq,04-21'!F510/42</f>
        <v>7161.9047619047615</v>
      </c>
      <c r="G508" s="387">
        <f>'C-SH-6A ConsCombFloPesq,04-21'!G510/42</f>
        <v>430.95238095238096</v>
      </c>
      <c r="H508" s="387">
        <f>'C-SH-6A ConsCombFloPesq,04-21'!H510/42</f>
        <v>14.5</v>
      </c>
      <c r="I508" s="388">
        <f>'C-SH-6A ConsCombFloPesq,04-21'!I510/42</f>
        <v>25736</v>
      </c>
    </row>
    <row r="509" spans="2:9" ht="15" customHeight="1" x14ac:dyDescent="0.25">
      <c r="B509" s="577" t="s">
        <v>91</v>
      </c>
      <c r="C509" s="387">
        <f>'C-SH-6A ConsCombFloPesq,04-21'!C511/42</f>
        <v>2794.0476190476193</v>
      </c>
      <c r="D509" s="387">
        <f>'C-SH-6A ConsCombFloPesq,04-21'!D511/42</f>
        <v>17437.761904761905</v>
      </c>
      <c r="E509" s="387"/>
      <c r="F509" s="387">
        <f>'C-SH-6A ConsCombFloPesq,04-21'!F511/42</f>
        <v>2871.4285714285716</v>
      </c>
      <c r="G509" s="387">
        <f>'C-SH-6A ConsCombFloPesq,04-21'!G511/42</f>
        <v>328.57142857142856</v>
      </c>
      <c r="H509" s="387">
        <f>'C-SH-6A ConsCombFloPesq,04-21'!H511/42</f>
        <v>54.80952380952381</v>
      </c>
      <c r="I509" s="388">
        <f>'C-SH-6A ConsCombFloPesq,04-21'!I511/42</f>
        <v>23486.619047619046</v>
      </c>
    </row>
    <row r="510" spans="2:9" ht="15" customHeight="1" x14ac:dyDescent="0.25">
      <c r="B510" s="570" t="s">
        <v>139</v>
      </c>
      <c r="C510" s="380">
        <f t="shared" ref="C510:H510" si="74">SUM(C507:C509)</f>
        <v>9103.5714285714275</v>
      </c>
      <c r="D510" s="380">
        <f t="shared" si="74"/>
        <v>51791.166666666672</v>
      </c>
      <c r="E510" s="380">
        <f t="shared" si="74"/>
        <v>0</v>
      </c>
      <c r="F510" s="380">
        <f t="shared" si="74"/>
        <v>19623.809523809527</v>
      </c>
      <c r="G510" s="380">
        <f t="shared" si="74"/>
        <v>1069.047619047619</v>
      </c>
      <c r="H510" s="380">
        <f t="shared" si="74"/>
        <v>104.16666666666666</v>
      </c>
      <c r="I510" s="380">
        <f>+C510+D510+E510+F510+G510+H510</f>
        <v>81691.761904761923</v>
      </c>
    </row>
    <row r="511" spans="2:9" ht="15" customHeight="1" x14ac:dyDescent="0.25">
      <c r="B511" s="577"/>
      <c r="C511" s="387"/>
      <c r="D511" s="387"/>
      <c r="E511" s="387"/>
      <c r="F511" s="387"/>
      <c r="G511" s="387"/>
      <c r="H511" s="387"/>
      <c r="I511" s="388"/>
    </row>
    <row r="512" spans="2:9" ht="15" customHeight="1" x14ac:dyDescent="0.25">
      <c r="B512" s="577" t="s">
        <v>93</v>
      </c>
      <c r="C512" s="387">
        <f>'C-SH-6A ConsCombFloPesq,04-21'!C514/42</f>
        <v>3110.7142857142858</v>
      </c>
      <c r="D512" s="387">
        <f>'C-SH-6A ConsCombFloPesq,04-21'!D514/42</f>
        <v>12439.880952380952</v>
      </c>
      <c r="E512" s="387"/>
      <c r="F512" s="387">
        <f>'C-SH-6A ConsCombFloPesq,04-21'!F514/42</f>
        <v>3966.6666666666665</v>
      </c>
      <c r="G512" s="387">
        <f>'C-SH-6A ConsCombFloPesq,04-21'!G514/42</f>
        <v>244.04761904761904</v>
      </c>
      <c r="H512" s="387">
        <f>'C-SH-6A ConsCombFloPesq,04-21'!H514/42</f>
        <v>19.11904761904762</v>
      </c>
      <c r="I512" s="388">
        <f>'C-SH-6A ConsCombFloPesq,04-21'!I514/42</f>
        <v>19780.428571428572</v>
      </c>
    </row>
    <row r="513" spans="2:9" ht="15" customHeight="1" x14ac:dyDescent="0.25">
      <c r="B513" s="577" t="s">
        <v>94</v>
      </c>
      <c r="C513" s="387">
        <f>'C-SH-6A ConsCombFloPesq,04-21'!C515/42</f>
        <v>1869.047619047619</v>
      </c>
      <c r="D513" s="387">
        <f>'C-SH-6A ConsCombFloPesq,04-21'!D515/42</f>
        <v>12798.238095238095</v>
      </c>
      <c r="E513" s="387"/>
      <c r="F513" s="387">
        <f>'C-SH-6A ConsCombFloPesq,04-21'!F515/42</f>
        <v>3438.0952380952381</v>
      </c>
      <c r="G513" s="387">
        <f>'C-SH-6A ConsCombFloPesq,04-21'!G515/42</f>
        <v>478.57142857142856</v>
      </c>
      <c r="H513" s="387">
        <f>'C-SH-6A ConsCombFloPesq,04-21'!H515/42</f>
        <v>53.142857142857146</v>
      </c>
      <c r="I513" s="388">
        <f>'C-SH-6A ConsCombFloPesq,04-21'!I515/42</f>
        <v>18637.095238095237</v>
      </c>
    </row>
    <row r="514" spans="2:9" ht="15" customHeight="1" x14ac:dyDescent="0.25">
      <c r="B514" s="577" t="s">
        <v>101</v>
      </c>
      <c r="C514" s="387">
        <f>'C-SH-6A ConsCombFloPesq,04-21'!C516/42</f>
        <v>1471.7857142857142</v>
      </c>
      <c r="D514" s="387">
        <f>'C-SH-6A ConsCombFloPesq,04-21'!D516/42</f>
        <v>4975.2857142857147</v>
      </c>
      <c r="E514" s="387"/>
      <c r="F514" s="387">
        <f>'C-SH-6A ConsCombFloPesq,04-21'!F516/42</f>
        <v>2066.6666666666665</v>
      </c>
      <c r="G514" s="387">
        <f>'C-SH-6A ConsCombFloPesq,04-21'!G516/42</f>
        <v>214.28571428571428</v>
      </c>
      <c r="H514" s="387">
        <f>'C-SH-6A ConsCombFloPesq,04-21'!H516/42</f>
        <v>18.19047619047619</v>
      </c>
      <c r="I514" s="388">
        <f>'C-SH-6A ConsCombFloPesq,04-21'!I516/42</f>
        <v>8746.2142857142862</v>
      </c>
    </row>
    <row r="515" spans="2:9" ht="15" customHeight="1" x14ac:dyDescent="0.25">
      <c r="B515" s="570" t="s">
        <v>140</v>
      </c>
      <c r="C515" s="380">
        <f t="shared" ref="C515:H515" si="75">SUM(C512:C514)</f>
        <v>6451.5476190476184</v>
      </c>
      <c r="D515" s="380">
        <f t="shared" si="75"/>
        <v>30213.40476190476</v>
      </c>
      <c r="E515" s="380">
        <f t="shared" si="75"/>
        <v>0</v>
      </c>
      <c r="F515" s="380">
        <f t="shared" si="75"/>
        <v>9471.4285714285706</v>
      </c>
      <c r="G515" s="380">
        <f t="shared" si="75"/>
        <v>936.90476190476193</v>
      </c>
      <c r="H515" s="380">
        <f t="shared" si="75"/>
        <v>90.452380952380949</v>
      </c>
      <c r="I515" s="380">
        <f>+C515+D515+E515+F515+G515+H515</f>
        <v>47163.738095238099</v>
      </c>
    </row>
    <row r="516" spans="2:9" ht="15" customHeight="1" x14ac:dyDescent="0.25">
      <c r="B516" s="577"/>
      <c r="C516" s="387"/>
      <c r="D516" s="387"/>
      <c r="E516" s="387"/>
      <c r="F516" s="387"/>
      <c r="G516" s="387"/>
      <c r="H516" s="387"/>
      <c r="I516" s="388"/>
    </row>
    <row r="517" spans="2:9" ht="15" customHeight="1" x14ac:dyDescent="0.25">
      <c r="B517" s="577" t="s">
        <v>95</v>
      </c>
      <c r="C517" s="387">
        <f>'C-SH-6A ConsCombFloPesq,04-21'!C519/42</f>
        <v>1248.6666666666667</v>
      </c>
      <c r="D517" s="387">
        <f>'C-SH-6A ConsCombFloPesq,04-21'!D519/42</f>
        <v>7960.7142857142853</v>
      </c>
      <c r="E517" s="387"/>
      <c r="F517" s="387">
        <f>'C-SH-6A ConsCombFloPesq,04-21'!F519/42</f>
        <v>452.38095238095241</v>
      </c>
      <c r="G517" s="387">
        <f>'C-SH-6A ConsCombFloPesq,04-21'!G519/42</f>
        <v>179.76190476190476</v>
      </c>
      <c r="H517" s="387">
        <f>'C-SH-6A ConsCombFloPesq,04-21'!H519/42</f>
        <v>18.738095238095237</v>
      </c>
      <c r="I517" s="388">
        <f>'C-SH-6A ConsCombFloPesq,04-21'!I519/42</f>
        <v>9860.2619047619046</v>
      </c>
    </row>
    <row r="518" spans="2:9" ht="15" customHeight="1" x14ac:dyDescent="0.25">
      <c r="B518" s="577" t="s">
        <v>96</v>
      </c>
      <c r="C518" s="387">
        <f>'C-SH-6A ConsCombFloPesq,04-21'!C520/42</f>
        <v>1157.2380952380952</v>
      </c>
      <c r="D518" s="387">
        <f>'C-SH-6A ConsCombFloPesq,04-21'!D520/42</f>
        <v>4755.5476190476193</v>
      </c>
      <c r="E518" s="387"/>
      <c r="F518" s="387"/>
      <c r="G518" s="387">
        <f>'C-SH-6A ConsCombFloPesq,04-21'!G520/42</f>
        <v>73.80952380952381</v>
      </c>
      <c r="H518" s="387">
        <f>'C-SH-6A ConsCombFloPesq,04-21'!H520/42</f>
        <v>6.6428571428571432</v>
      </c>
      <c r="I518" s="388">
        <f>'C-SH-6A ConsCombFloPesq,04-21'!I520/42</f>
        <v>5993.2380952380954</v>
      </c>
    </row>
    <row r="519" spans="2:9" ht="15" customHeight="1" x14ac:dyDescent="0.25">
      <c r="B519" s="577" t="s">
        <v>97</v>
      </c>
      <c r="C519" s="387">
        <f>'C-SH-6A ConsCombFloPesq,04-21'!C521/42</f>
        <v>1694.047619047619</v>
      </c>
      <c r="D519" s="387">
        <f>'C-SH-6A ConsCombFloPesq,04-21'!D521/42</f>
        <v>5534.3095238095239</v>
      </c>
      <c r="E519" s="387"/>
      <c r="F519" s="387"/>
      <c r="G519" s="387">
        <f>'C-SH-6A ConsCombFloPesq,04-21'!G521/42</f>
        <v>392.85714285714283</v>
      </c>
      <c r="H519" s="387">
        <f>'C-SH-6A ConsCombFloPesq,04-21'!H521/42</f>
        <v>46.023809523809526</v>
      </c>
      <c r="I519" s="388">
        <f>'C-SH-6A ConsCombFloPesq,04-21'!I521/42</f>
        <v>7667.2380952380954</v>
      </c>
    </row>
    <row r="520" spans="2:9" ht="15" customHeight="1" x14ac:dyDescent="0.25">
      <c r="B520" s="570" t="s">
        <v>141</v>
      </c>
      <c r="C520" s="380">
        <f t="shared" ref="C520:H520" si="76">SUM(C517:C519)</f>
        <v>4099.9523809523807</v>
      </c>
      <c r="D520" s="380">
        <f t="shared" si="76"/>
        <v>18250.571428571428</v>
      </c>
      <c r="E520" s="380">
        <f t="shared" si="76"/>
        <v>0</v>
      </c>
      <c r="F520" s="380">
        <f t="shared" si="76"/>
        <v>452.38095238095241</v>
      </c>
      <c r="G520" s="380">
        <f t="shared" si="76"/>
        <v>646.42857142857133</v>
      </c>
      <c r="H520" s="380">
        <f t="shared" si="76"/>
        <v>71.404761904761898</v>
      </c>
      <c r="I520" s="380">
        <f>+C520+D520+E520+F520+G520+H520</f>
        <v>23520.738095238099</v>
      </c>
    </row>
    <row r="521" spans="2:9" ht="15" customHeight="1" thickBot="1" x14ac:dyDescent="0.3">
      <c r="B521" s="593"/>
      <c r="C521" s="381"/>
      <c r="D521" s="381"/>
      <c r="E521" s="381"/>
      <c r="F521" s="381"/>
      <c r="G521" s="381"/>
      <c r="H521" s="381"/>
      <c r="I521" s="389"/>
    </row>
    <row r="522" spans="2:9" ht="15" customHeight="1" x14ac:dyDescent="0.25">
      <c r="B522" s="14" t="s">
        <v>23</v>
      </c>
      <c r="C522" s="14"/>
      <c r="D522" s="14"/>
      <c r="E522" s="6"/>
      <c r="F522" s="6"/>
      <c r="G522" s="6"/>
      <c r="H522" s="6"/>
      <c r="I522" s="6"/>
    </row>
    <row r="523" spans="2:9" ht="15" customHeight="1" x14ac:dyDescent="0.25">
      <c r="B523" s="6"/>
      <c r="C523" s="6"/>
      <c r="D523" s="6"/>
      <c r="E523" s="6"/>
      <c r="F523" s="6"/>
      <c r="G523" s="6"/>
      <c r="H523" s="6"/>
      <c r="I523" s="6"/>
    </row>
    <row r="524" spans="2:9" ht="15" customHeight="1" x14ac:dyDescent="0.25">
      <c r="B524" s="864" t="s">
        <v>137</v>
      </c>
      <c r="C524" s="864"/>
      <c r="D524" s="864"/>
      <c r="E524" s="864"/>
      <c r="F524" s="864"/>
      <c r="G524" s="864"/>
      <c r="H524" s="864"/>
      <c r="I524" s="864"/>
    </row>
    <row r="525" spans="2:9" ht="15" customHeight="1" x14ac:dyDescent="0.25">
      <c r="B525" s="864">
        <v>2004</v>
      </c>
      <c r="C525" s="864"/>
      <c r="D525" s="864"/>
      <c r="E525" s="864"/>
      <c r="F525" s="864"/>
      <c r="G525" s="864"/>
      <c r="H525" s="864"/>
      <c r="I525" s="864"/>
    </row>
    <row r="526" spans="2:9" ht="15" customHeight="1" thickBot="1" x14ac:dyDescent="0.3">
      <c r="B526" s="929" t="s">
        <v>27</v>
      </c>
      <c r="C526" s="929"/>
      <c r="D526" s="929"/>
      <c r="E526" s="929"/>
      <c r="F526" s="929"/>
      <c r="G526" s="929"/>
      <c r="H526" s="929"/>
      <c r="I526" s="929"/>
    </row>
    <row r="527" spans="2:9" ht="24.9" customHeight="1" thickBot="1" x14ac:dyDescent="0.3">
      <c r="B527" s="594" t="s">
        <v>100</v>
      </c>
      <c r="C527" s="595" t="s">
        <v>52</v>
      </c>
      <c r="D527" s="595" t="s">
        <v>123</v>
      </c>
      <c r="E527" s="595" t="s">
        <v>79</v>
      </c>
      <c r="F527" s="595" t="s">
        <v>181</v>
      </c>
      <c r="G527" s="595" t="s">
        <v>131</v>
      </c>
      <c r="H527" s="595" t="s">
        <v>84</v>
      </c>
      <c r="I527" s="595" t="s">
        <v>78</v>
      </c>
    </row>
    <row r="528" spans="2:9" ht="15" customHeight="1" x14ac:dyDescent="0.25">
      <c r="B528" s="574"/>
      <c r="C528" s="377"/>
      <c r="D528" s="377"/>
      <c r="E528" s="378"/>
      <c r="F528" s="378"/>
      <c r="G528" s="378"/>
      <c r="H528" s="378"/>
      <c r="I528" s="379"/>
    </row>
    <row r="529" spans="2:9" ht="15" customHeight="1" x14ac:dyDescent="0.25">
      <c r="B529" s="570" t="s">
        <v>103</v>
      </c>
      <c r="C529" s="380">
        <f t="shared" ref="C529:I529" si="77">+C535+C540+C545+C550</f>
        <v>20929.404761904763</v>
      </c>
      <c r="D529" s="380">
        <f t="shared" si="77"/>
        <v>154328.02380952382</v>
      </c>
      <c r="E529" s="380">
        <f t="shared" si="77"/>
        <v>226.19047619047618</v>
      </c>
      <c r="F529" s="380">
        <f t="shared" si="77"/>
        <v>29576.190476190477</v>
      </c>
      <c r="G529" s="380">
        <f t="shared" si="77"/>
        <v>4101.1904761904761</v>
      </c>
      <c r="H529" s="380">
        <f t="shared" si="77"/>
        <v>873.21428571428578</v>
      </c>
      <c r="I529" s="380">
        <f t="shared" si="77"/>
        <v>210034.21428571432</v>
      </c>
    </row>
    <row r="530" spans="2:9" ht="15" customHeight="1" thickBot="1" x14ac:dyDescent="0.3">
      <c r="B530" s="593"/>
      <c r="C530" s="381"/>
      <c r="D530" s="381"/>
      <c r="E530" s="382"/>
      <c r="F530" s="382"/>
      <c r="G530" s="382"/>
      <c r="H530" s="382"/>
      <c r="I530" s="383"/>
    </row>
    <row r="531" spans="2:9" ht="15" customHeight="1" x14ac:dyDescent="0.25">
      <c r="B531" s="579"/>
      <c r="C531" s="384"/>
      <c r="D531" s="384"/>
      <c r="E531" s="385"/>
      <c r="F531" s="385"/>
      <c r="G531" s="385"/>
      <c r="H531" s="385"/>
      <c r="I531" s="386"/>
    </row>
    <row r="532" spans="2:9" ht="15" customHeight="1" x14ac:dyDescent="0.25">
      <c r="B532" s="577" t="s">
        <v>86</v>
      </c>
      <c r="C532" s="387">
        <f>'C-SH-6A ConsCombFloPesq,04-21'!C534/42</f>
        <v>1851.6666666666667</v>
      </c>
      <c r="D532" s="387">
        <f>'C-SH-6A ConsCombFloPesq,04-21'!D534/42</f>
        <v>8157.1904761904761</v>
      </c>
      <c r="E532" s="387"/>
      <c r="F532" s="387"/>
      <c r="G532" s="387">
        <f>'C-SH-6A ConsCombFloPesq,04-21'!G534/42</f>
        <v>84.523809523809518</v>
      </c>
      <c r="H532" s="387">
        <f>'C-SH-6A ConsCombFloPesq,04-21'!H534/42</f>
        <v>48.023809523809526</v>
      </c>
      <c r="I532" s="388">
        <f>'C-SH-6A ConsCombFloPesq,04-21'!I534/42</f>
        <v>10141.404761904761</v>
      </c>
    </row>
    <row r="533" spans="2:9" ht="15" customHeight="1" x14ac:dyDescent="0.25">
      <c r="B533" s="577" t="s">
        <v>87</v>
      </c>
      <c r="C533" s="387">
        <f>'C-SH-6A ConsCombFloPesq,04-21'!C535/42</f>
        <v>1581.6666666666667</v>
      </c>
      <c r="D533" s="387">
        <f>'C-SH-6A ConsCombFloPesq,04-21'!D535/42</f>
        <v>4467.5238095238092</v>
      </c>
      <c r="E533" s="387">
        <f>'C-SH-6A ConsCombFloPesq,04-21'!E535/42</f>
        <v>104.76190476190476</v>
      </c>
      <c r="F533" s="387"/>
      <c r="G533" s="387">
        <f>'C-SH-6A ConsCombFloPesq,04-21'!G535/42</f>
        <v>128.57142857142858</v>
      </c>
      <c r="H533" s="387">
        <f>'C-SH-6A ConsCombFloPesq,04-21'!H535/42</f>
        <v>172.0952380952381</v>
      </c>
      <c r="I533" s="388">
        <f>'C-SH-6A ConsCombFloPesq,04-21'!I535/42</f>
        <v>6454.6190476190477</v>
      </c>
    </row>
    <row r="534" spans="2:9" ht="15" customHeight="1" x14ac:dyDescent="0.25">
      <c r="B534" s="577" t="s">
        <v>88</v>
      </c>
      <c r="C534" s="387">
        <f>'C-SH-6A ConsCombFloPesq,04-21'!C536/42</f>
        <v>2051.2380952380954</v>
      </c>
      <c r="D534" s="387">
        <f>'C-SH-6A ConsCombFloPesq,04-21'!D536/42</f>
        <v>10763.976190476191</v>
      </c>
      <c r="E534" s="387"/>
      <c r="F534" s="387">
        <f>'C-SH-6A ConsCombFloPesq,04-21'!F536/42</f>
        <v>352.38095238095241</v>
      </c>
      <c r="G534" s="387">
        <f>'C-SH-6A ConsCombFloPesq,04-21'!G536/42</f>
        <v>509.52380952380952</v>
      </c>
      <c r="H534" s="387">
        <f>'C-SH-6A ConsCombFloPesq,04-21'!H536/42</f>
        <v>59.095238095238095</v>
      </c>
      <c r="I534" s="388">
        <f>'C-SH-6A ConsCombFloPesq,04-21'!I536/42</f>
        <v>13736.214285714286</v>
      </c>
    </row>
    <row r="535" spans="2:9" ht="15" customHeight="1" x14ac:dyDescent="0.25">
      <c r="B535" s="570" t="s">
        <v>138</v>
      </c>
      <c r="C535" s="380">
        <f t="shared" ref="C535:H535" si="78">SUM(C532:C534)</f>
        <v>5484.5714285714294</v>
      </c>
      <c r="D535" s="380">
        <f t="shared" si="78"/>
        <v>23388.690476190477</v>
      </c>
      <c r="E535" s="380">
        <f t="shared" si="78"/>
        <v>104.76190476190476</v>
      </c>
      <c r="F535" s="380">
        <f t="shared" si="78"/>
        <v>352.38095238095241</v>
      </c>
      <c r="G535" s="380">
        <f t="shared" si="78"/>
        <v>722.61904761904759</v>
      </c>
      <c r="H535" s="380">
        <f t="shared" si="78"/>
        <v>279.21428571428572</v>
      </c>
      <c r="I535" s="380">
        <f>+C535+D535+E535+F535+G535+H535</f>
        <v>30332.238095238099</v>
      </c>
    </row>
    <row r="536" spans="2:9" ht="15" customHeight="1" x14ac:dyDescent="0.25">
      <c r="B536" s="577"/>
      <c r="C536" s="387"/>
      <c r="D536" s="387"/>
      <c r="E536" s="387"/>
      <c r="F536" s="387"/>
      <c r="G536" s="387"/>
      <c r="H536" s="387"/>
      <c r="I536" s="388"/>
    </row>
    <row r="537" spans="2:9" ht="15" customHeight="1" x14ac:dyDescent="0.25">
      <c r="B537" s="577" t="s">
        <v>89</v>
      </c>
      <c r="C537" s="387">
        <f>'C-SH-6A ConsCombFloPesq,04-21'!C539/42</f>
        <v>1768.2619047619048</v>
      </c>
      <c r="D537" s="387">
        <f>'C-SH-6A ConsCombFloPesq,04-21'!D539/42</f>
        <v>24551.904761904763</v>
      </c>
      <c r="E537" s="387"/>
      <c r="F537" s="387">
        <f>'C-SH-6A ConsCombFloPesq,04-21'!F539/42</f>
        <v>7314.2857142857147</v>
      </c>
      <c r="G537" s="387">
        <f>'C-SH-6A ConsCombFloPesq,04-21'!G539/42</f>
        <v>169.04761904761904</v>
      </c>
      <c r="H537" s="387">
        <f>'C-SH-6A ConsCombFloPesq,04-21'!H539/42</f>
        <v>111.04761904761905</v>
      </c>
      <c r="I537" s="388">
        <f>'C-SH-6A ConsCombFloPesq,04-21'!I539/42</f>
        <v>33914.547619047618</v>
      </c>
    </row>
    <row r="538" spans="2:9" ht="15" customHeight="1" x14ac:dyDescent="0.25">
      <c r="B538" s="577" t="s">
        <v>90</v>
      </c>
      <c r="C538" s="387">
        <f>'C-SH-6A ConsCombFloPesq,04-21'!C540/42</f>
        <v>1372.4761904761904</v>
      </c>
      <c r="D538" s="387">
        <f>'C-SH-6A ConsCombFloPesq,04-21'!D540/42</f>
        <v>20290.666666666668</v>
      </c>
      <c r="E538" s="387"/>
      <c r="F538" s="387">
        <f>'C-SH-6A ConsCombFloPesq,04-21'!F540/42</f>
        <v>5533.333333333333</v>
      </c>
      <c r="G538" s="387">
        <f>'C-SH-6A ConsCombFloPesq,04-21'!G540/42</f>
        <v>157.14285714285714</v>
      </c>
      <c r="H538" s="387">
        <f>'C-SH-6A ConsCombFloPesq,04-21'!H540/42</f>
        <v>111.23809523809524</v>
      </c>
      <c r="I538" s="388">
        <f>'C-SH-6A ConsCombFloPesq,04-21'!I540/42</f>
        <v>27464.857142857141</v>
      </c>
    </row>
    <row r="539" spans="2:9" ht="15" customHeight="1" x14ac:dyDescent="0.25">
      <c r="B539" s="577" t="s">
        <v>91</v>
      </c>
      <c r="C539" s="387">
        <f>'C-SH-6A ConsCombFloPesq,04-21'!C541/42</f>
        <v>1504.3809523809523</v>
      </c>
      <c r="D539" s="387">
        <f>'C-SH-6A ConsCombFloPesq,04-21'!D541/42</f>
        <v>17377.214285714286</v>
      </c>
      <c r="E539" s="387"/>
      <c r="F539" s="387">
        <f>'C-SH-6A ConsCombFloPesq,04-21'!F541/42</f>
        <v>5680.9523809523807</v>
      </c>
      <c r="G539" s="387">
        <f>'C-SH-6A ConsCombFloPesq,04-21'!G541/42</f>
        <v>300</v>
      </c>
      <c r="H539" s="387">
        <f>'C-SH-6A ConsCombFloPesq,04-21'!H541/42</f>
        <v>56.976190476190474</v>
      </c>
      <c r="I539" s="388">
        <f>'C-SH-6A ConsCombFloPesq,04-21'!I541/42</f>
        <v>24919.523809523809</v>
      </c>
    </row>
    <row r="540" spans="2:9" ht="15" customHeight="1" x14ac:dyDescent="0.25">
      <c r="B540" s="570" t="s">
        <v>139</v>
      </c>
      <c r="C540" s="380">
        <f t="shared" ref="C540:H540" si="79">SUM(C537:C539)</f>
        <v>4645.1190476190477</v>
      </c>
      <c r="D540" s="380">
        <f t="shared" si="79"/>
        <v>62219.785714285725</v>
      </c>
      <c r="E540" s="380">
        <f t="shared" si="79"/>
        <v>0</v>
      </c>
      <c r="F540" s="380">
        <f t="shared" si="79"/>
        <v>18528.571428571428</v>
      </c>
      <c r="G540" s="380">
        <f t="shared" si="79"/>
        <v>626.19047619047615</v>
      </c>
      <c r="H540" s="380">
        <f t="shared" si="79"/>
        <v>279.26190476190476</v>
      </c>
      <c r="I540" s="380">
        <f>+C540+D540+E540+F540+G540+H540</f>
        <v>86298.928571428594</v>
      </c>
    </row>
    <row r="541" spans="2:9" ht="15" customHeight="1" x14ac:dyDescent="0.25">
      <c r="B541" s="577"/>
      <c r="C541" s="387"/>
      <c r="D541" s="387"/>
      <c r="E541" s="387"/>
      <c r="F541" s="387"/>
      <c r="G541" s="387"/>
      <c r="H541" s="387"/>
      <c r="I541" s="388"/>
    </row>
    <row r="542" spans="2:9" ht="15" customHeight="1" x14ac:dyDescent="0.25">
      <c r="B542" s="577" t="s">
        <v>93</v>
      </c>
      <c r="C542" s="387">
        <f>'C-SH-6A ConsCombFloPesq,04-21'!C544/42</f>
        <v>1523.8571428571429</v>
      </c>
      <c r="D542" s="387">
        <f>'C-SH-6A ConsCombFloPesq,04-21'!D544/42</f>
        <v>19233.119047619046</v>
      </c>
      <c r="E542" s="387"/>
      <c r="F542" s="387">
        <f>'C-SH-6A ConsCombFloPesq,04-21'!F544/42</f>
        <v>704.76190476190482</v>
      </c>
      <c r="G542" s="387">
        <f>'C-SH-6A ConsCombFloPesq,04-21'!G544/42</f>
        <v>311.90476190476193</v>
      </c>
      <c r="H542" s="387">
        <f>'C-SH-6A ConsCombFloPesq,04-21'!H544/42</f>
        <v>100.9047619047619</v>
      </c>
      <c r="I542" s="388">
        <f>'C-SH-6A ConsCombFloPesq,04-21'!I544/42</f>
        <v>21874.547619047618</v>
      </c>
    </row>
    <row r="543" spans="2:9" ht="15" customHeight="1" x14ac:dyDescent="0.25">
      <c r="B543" s="577" t="s">
        <v>94</v>
      </c>
      <c r="C543" s="387">
        <f>'C-SH-6A ConsCombFloPesq,04-21'!C545/42</f>
        <v>2180.6190476190477</v>
      </c>
      <c r="D543" s="387">
        <f>'C-SH-6A ConsCombFloPesq,04-21'!D545/42</f>
        <v>14255.666666666666</v>
      </c>
      <c r="E543" s="387">
        <f>'C-SH-6A ConsCombFloPesq,04-21'!E545/42</f>
        <v>85.714285714285708</v>
      </c>
      <c r="F543" s="387">
        <f>'C-SH-6A ConsCombFloPesq,04-21'!F545/42</f>
        <v>4671.4285714285716</v>
      </c>
      <c r="G543" s="387">
        <f>'C-SH-6A ConsCombFloPesq,04-21'!G545/42</f>
        <v>507.14285714285717</v>
      </c>
      <c r="H543" s="387">
        <f>'C-SH-6A ConsCombFloPesq,04-21'!H545/42</f>
        <v>27.547619047619047</v>
      </c>
      <c r="I543" s="388">
        <f>'C-SH-6A ConsCombFloPesq,04-21'!I545/42</f>
        <v>21728.119047619046</v>
      </c>
    </row>
    <row r="544" spans="2:9" ht="15" customHeight="1" x14ac:dyDescent="0.25">
      <c r="B544" s="577" t="s">
        <v>101</v>
      </c>
      <c r="C544" s="387">
        <f>'C-SH-6A ConsCombFloPesq,04-21'!C546/42</f>
        <v>1534.5238095238096</v>
      </c>
      <c r="D544" s="387">
        <f>'C-SH-6A ConsCombFloPesq,04-21'!D546/42</f>
        <v>14870.357142857143</v>
      </c>
      <c r="E544" s="387">
        <f>'C-SH-6A ConsCombFloPesq,04-21'!E546/42</f>
        <v>35.714285714285715</v>
      </c>
      <c r="F544" s="387">
        <f>'C-SH-6A ConsCombFloPesq,04-21'!F546/42</f>
        <v>2938.0952380952381</v>
      </c>
      <c r="G544" s="387">
        <f>'C-SH-6A ConsCombFloPesq,04-21'!G546/42</f>
        <v>529.76190476190482</v>
      </c>
      <c r="H544" s="387">
        <f>'C-SH-6A ConsCombFloPesq,04-21'!H546/42</f>
        <v>104.47619047619048</v>
      </c>
      <c r="I544" s="388">
        <f>'C-SH-6A ConsCombFloPesq,04-21'!I546/42</f>
        <v>20012.928571428572</v>
      </c>
    </row>
    <row r="545" spans="2:9" ht="15" customHeight="1" x14ac:dyDescent="0.25">
      <c r="B545" s="570" t="s">
        <v>140</v>
      </c>
      <c r="C545" s="380">
        <f t="shared" ref="C545:H545" si="80">SUM(C542:C544)</f>
        <v>5239</v>
      </c>
      <c r="D545" s="380">
        <f t="shared" si="80"/>
        <v>48359.142857142855</v>
      </c>
      <c r="E545" s="380">
        <f t="shared" si="80"/>
        <v>121.42857142857142</v>
      </c>
      <c r="F545" s="380">
        <f t="shared" si="80"/>
        <v>8314.2857142857138</v>
      </c>
      <c r="G545" s="380">
        <f t="shared" si="80"/>
        <v>1348.8095238095239</v>
      </c>
      <c r="H545" s="380">
        <f t="shared" si="80"/>
        <v>232.92857142857142</v>
      </c>
      <c r="I545" s="380">
        <f>+C545+D545+E545+F545+G545+H545</f>
        <v>63615.595238095244</v>
      </c>
    </row>
    <row r="546" spans="2:9" ht="15" customHeight="1" x14ac:dyDescent="0.25">
      <c r="B546" s="577"/>
      <c r="C546" s="387"/>
      <c r="D546" s="387"/>
      <c r="E546" s="387"/>
      <c r="F546" s="387"/>
      <c r="G546" s="387"/>
      <c r="H546" s="387"/>
      <c r="I546" s="388"/>
    </row>
    <row r="547" spans="2:9" ht="15" customHeight="1" x14ac:dyDescent="0.25">
      <c r="B547" s="577" t="s">
        <v>95</v>
      </c>
      <c r="C547" s="387">
        <f>'C-SH-6A ConsCombFloPesq,04-21'!C549/42</f>
        <v>1420.2380952380952</v>
      </c>
      <c r="D547" s="387">
        <f>'C-SH-6A ConsCombFloPesq,04-21'!D549/42</f>
        <v>7433</v>
      </c>
      <c r="E547" s="387"/>
      <c r="F547" s="387">
        <f>'C-SH-6A ConsCombFloPesq,04-21'!F549/42</f>
        <v>1880.952380952381</v>
      </c>
      <c r="G547" s="387">
        <f>'C-SH-6A ConsCombFloPesq,04-21'!G549/42</f>
        <v>589.28571428571433</v>
      </c>
      <c r="H547" s="387">
        <f>'C-SH-6A ConsCombFloPesq,04-21'!H549/42</f>
        <v>7.3571428571428568</v>
      </c>
      <c r="I547" s="388">
        <f>'C-SH-6A ConsCombFloPesq,04-21'!I549/42</f>
        <v>11330.833333333334</v>
      </c>
    </row>
    <row r="548" spans="2:9" ht="15" customHeight="1" x14ac:dyDescent="0.25">
      <c r="B548" s="577" t="s">
        <v>96</v>
      </c>
      <c r="C548" s="387">
        <f>'C-SH-6A ConsCombFloPesq,04-21'!C550/42</f>
        <v>1775</v>
      </c>
      <c r="D548" s="387">
        <f>'C-SH-6A ConsCombFloPesq,04-21'!D550/42</f>
        <v>6005.6190476190477</v>
      </c>
      <c r="E548" s="387"/>
      <c r="F548" s="387">
        <f>'C-SH-6A ConsCombFloPesq,04-21'!F550/42</f>
        <v>500</v>
      </c>
      <c r="G548" s="387">
        <f>'C-SH-6A ConsCombFloPesq,04-21'!G550/42</f>
        <v>545.23809523809518</v>
      </c>
      <c r="H548" s="387">
        <f>'C-SH-6A ConsCombFloPesq,04-21'!H550/42</f>
        <v>19.142857142857142</v>
      </c>
      <c r="I548" s="388">
        <f>'C-SH-6A ConsCombFloPesq,04-21'!I550/42</f>
        <v>8845</v>
      </c>
    </row>
    <row r="549" spans="2:9" ht="15" customHeight="1" x14ac:dyDescent="0.25">
      <c r="B549" s="577" t="s">
        <v>97</v>
      </c>
      <c r="C549" s="387">
        <f>'C-SH-6A ConsCombFloPesq,04-21'!C551/42</f>
        <v>2365.4761904761904</v>
      </c>
      <c r="D549" s="387">
        <f>'C-SH-6A ConsCombFloPesq,04-21'!D551/42</f>
        <v>6921.7857142857147</v>
      </c>
      <c r="E549" s="387"/>
      <c r="F549" s="387">
        <f>'C-SH-6A ConsCombFloPesq,04-21'!F551/42</f>
        <v>0</v>
      </c>
      <c r="G549" s="387">
        <f>'C-SH-6A ConsCombFloPesq,04-21'!G551/42</f>
        <v>269.04761904761904</v>
      </c>
      <c r="H549" s="387">
        <f>'C-SH-6A ConsCombFloPesq,04-21'!H551/42</f>
        <v>55.30952380952381</v>
      </c>
      <c r="I549" s="388">
        <f>'C-SH-6A ConsCombFloPesq,04-21'!I551/42</f>
        <v>9611.6190476190477</v>
      </c>
    </row>
    <row r="550" spans="2:9" ht="15" customHeight="1" x14ac:dyDescent="0.25">
      <c r="B550" s="570" t="s">
        <v>141</v>
      </c>
      <c r="C550" s="380">
        <f t="shared" ref="C550:H550" si="81">SUM(C547:C549)</f>
        <v>5560.7142857142862</v>
      </c>
      <c r="D550" s="380">
        <f t="shared" si="81"/>
        <v>20360.404761904763</v>
      </c>
      <c r="E550" s="380">
        <f t="shared" si="81"/>
        <v>0</v>
      </c>
      <c r="F550" s="380">
        <f t="shared" si="81"/>
        <v>2380.9523809523807</v>
      </c>
      <c r="G550" s="380">
        <f t="shared" si="81"/>
        <v>1403.5714285714287</v>
      </c>
      <c r="H550" s="380">
        <f t="shared" si="81"/>
        <v>81.80952380952381</v>
      </c>
      <c r="I550" s="380">
        <f>+C550+D550+E550+F550+G550+H550</f>
        <v>29787.452380952382</v>
      </c>
    </row>
    <row r="551" spans="2:9" ht="15" customHeight="1" thickBot="1" x14ac:dyDescent="0.3">
      <c r="B551" s="593"/>
      <c r="C551" s="381"/>
      <c r="D551" s="381"/>
      <c r="E551" s="382"/>
      <c r="F551" s="382"/>
      <c r="G551" s="382"/>
      <c r="H551" s="382"/>
      <c r="I551" s="383"/>
    </row>
    <row r="552" spans="2:9" ht="15" customHeight="1" x14ac:dyDescent="0.25">
      <c r="B552" s="14" t="s">
        <v>23</v>
      </c>
    </row>
  </sheetData>
  <mergeCells count="68">
    <mergeCell ref="B1:J1"/>
    <mergeCell ref="B2:J2"/>
    <mergeCell ref="B3:J3"/>
    <mergeCell ref="B4:J4"/>
    <mergeCell ref="B31:J31"/>
    <mergeCell ref="B32:J32"/>
    <mergeCell ref="B33:J33"/>
    <mergeCell ref="B34:J34"/>
    <mergeCell ref="B62:J62"/>
    <mergeCell ref="B63:J63"/>
    <mergeCell ref="B64:J64"/>
    <mergeCell ref="B65:J65"/>
    <mergeCell ref="B93:J93"/>
    <mergeCell ref="B94:J94"/>
    <mergeCell ref="B95:J95"/>
    <mergeCell ref="B96:J96"/>
    <mergeCell ref="B406:I406"/>
    <mergeCell ref="B219:J219"/>
    <mergeCell ref="B220:J220"/>
    <mergeCell ref="B248:J248"/>
    <mergeCell ref="B342:H342"/>
    <mergeCell ref="B341:H341"/>
    <mergeCell ref="B311:J311"/>
    <mergeCell ref="B313:J313"/>
    <mergeCell ref="B281:J281"/>
    <mergeCell ref="B312:J312"/>
    <mergeCell ref="B375:H375"/>
    <mergeCell ref="B344:H344"/>
    <mergeCell ref="B404:I404"/>
    <mergeCell ref="B405:I405"/>
    <mergeCell ref="B374:H374"/>
    <mergeCell ref="B249:J249"/>
    <mergeCell ref="B250:J250"/>
    <mergeCell ref="B310:J310"/>
    <mergeCell ref="B279:J279"/>
    <mergeCell ref="B282:J282"/>
    <mergeCell ref="B251:J251"/>
    <mergeCell ref="B280:J280"/>
    <mergeCell ref="B403:I403"/>
    <mergeCell ref="B343:H343"/>
    <mergeCell ref="B373:H373"/>
    <mergeCell ref="B496:I496"/>
    <mergeCell ref="B526:I526"/>
    <mergeCell ref="B525:I525"/>
    <mergeCell ref="B524:I524"/>
    <mergeCell ref="B434:I434"/>
    <mergeCell ref="B435:I435"/>
    <mergeCell ref="B464:I464"/>
    <mergeCell ref="B495:I495"/>
    <mergeCell ref="B494:I494"/>
    <mergeCell ref="B466:I466"/>
    <mergeCell ref="B465:I465"/>
    <mergeCell ref="B436:I436"/>
    <mergeCell ref="B372:H372"/>
    <mergeCell ref="B124:J124"/>
    <mergeCell ref="B125:J125"/>
    <mergeCell ref="B126:J126"/>
    <mergeCell ref="B127:J127"/>
    <mergeCell ref="B218:J218"/>
    <mergeCell ref="B217:J217"/>
    <mergeCell ref="B186:J186"/>
    <mergeCell ref="B187:J187"/>
    <mergeCell ref="B188:J188"/>
    <mergeCell ref="B189:J189"/>
    <mergeCell ref="B155:J155"/>
    <mergeCell ref="B156:J156"/>
    <mergeCell ref="B157:J157"/>
    <mergeCell ref="B158:J158"/>
  </mergeCells>
  <phoneticPr fontId="10" type="noConversion"/>
  <pageMargins left="0.75" right="0.75" top="1" bottom="1" header="0" footer="0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G80"/>
  <sheetViews>
    <sheetView topLeftCell="L1" zoomScale="90" zoomScaleNormal="90" workbookViewId="0">
      <selection activeCell="AA8" sqref="AA8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5.6640625" style="13" customWidth="1"/>
    <col min="3" max="3" width="14.88671875" style="13" customWidth="1"/>
    <col min="4" max="4" width="14.109375" style="13" customWidth="1"/>
    <col min="5" max="5" width="14.5546875" style="13" customWidth="1"/>
    <col min="6" max="6" width="14.6640625" style="13" customWidth="1"/>
    <col min="7" max="8" width="14.109375" style="13" customWidth="1"/>
    <col min="9" max="10" width="15.33203125" style="13" customWidth="1"/>
    <col min="11" max="25" width="15.109375" style="13" customWidth="1"/>
    <col min="26" max="26" width="12.33203125" style="45" customWidth="1"/>
    <col min="27" max="29" width="15.6640625" style="13" customWidth="1"/>
    <col min="30" max="30" width="12.6640625" style="45" customWidth="1"/>
    <col min="31" max="32" width="15.6640625" style="13" customWidth="1"/>
    <col min="33" max="33" width="10.6640625" style="13" customWidth="1"/>
    <col min="34" max="16384" width="11.44140625" style="13"/>
  </cols>
  <sheetData>
    <row r="1" spans="2:33" ht="15" customHeight="1" x14ac:dyDescent="0.25">
      <c r="B1" s="864" t="s">
        <v>192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47"/>
      <c r="AB1" s="47"/>
      <c r="AC1" s="47"/>
      <c r="AD1" s="47"/>
      <c r="AE1" s="41"/>
      <c r="AF1" s="41"/>
      <c r="AG1" s="41"/>
    </row>
    <row r="2" spans="2:33" ht="15" customHeight="1" x14ac:dyDescent="0.25">
      <c r="B2" s="864" t="s">
        <v>142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47"/>
      <c r="AB2" s="47"/>
      <c r="AC2" s="47"/>
      <c r="AD2" s="47"/>
      <c r="AE2" s="41"/>
      <c r="AF2" s="41"/>
      <c r="AG2" s="41"/>
    </row>
    <row r="3" spans="2:33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  <c r="AA3" s="47"/>
      <c r="AB3" s="47"/>
      <c r="AC3" s="47"/>
      <c r="AD3" s="47"/>
      <c r="AE3" s="41"/>
      <c r="AF3" s="41"/>
      <c r="AG3" s="41"/>
    </row>
    <row r="4" spans="2:33" ht="15" customHeight="1" thickBot="1" x14ac:dyDescent="0.3">
      <c r="B4" s="929" t="s">
        <v>135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47"/>
      <c r="AB4" s="47"/>
      <c r="AC4" s="47"/>
      <c r="AD4" s="47"/>
      <c r="AE4" s="41"/>
      <c r="AF4" s="41"/>
      <c r="AG4" s="41"/>
    </row>
    <row r="5" spans="2:33" ht="15" customHeight="1" x14ac:dyDescent="0.25">
      <c r="B5" s="922" t="s">
        <v>100</v>
      </c>
      <c r="C5" s="916" t="s">
        <v>136</v>
      </c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8"/>
      <c r="Z5" s="917"/>
      <c r="AA5" s="298"/>
      <c r="AD5" s="13"/>
    </row>
    <row r="6" spans="2:33" ht="45" customHeight="1" thickBot="1" x14ac:dyDescent="0.3">
      <c r="B6" s="932"/>
      <c r="C6" s="592">
        <v>1999</v>
      </c>
      <c r="D6" s="587">
        <v>2000</v>
      </c>
      <c r="E6" s="588">
        <v>2001</v>
      </c>
      <c r="F6" s="588">
        <v>2002</v>
      </c>
      <c r="G6" s="588">
        <v>2003</v>
      </c>
      <c r="H6" s="588">
        <v>2004</v>
      </c>
      <c r="I6" s="588">
        <v>2005</v>
      </c>
      <c r="J6" s="588">
        <v>2006</v>
      </c>
      <c r="K6" s="586">
        <v>2007</v>
      </c>
      <c r="L6" s="588">
        <v>2008</v>
      </c>
      <c r="M6" s="588">
        <v>2009</v>
      </c>
      <c r="N6" s="588">
        <v>2010</v>
      </c>
      <c r="O6" s="589">
        <v>2011</v>
      </c>
      <c r="P6" s="589">
        <v>2012</v>
      </c>
      <c r="Q6" s="589">
        <v>2013</v>
      </c>
      <c r="R6" s="589">
        <v>2014</v>
      </c>
      <c r="S6" s="589">
        <v>2015</v>
      </c>
      <c r="T6" s="738">
        <v>2016</v>
      </c>
      <c r="U6" s="756">
        <v>2017</v>
      </c>
      <c r="V6" s="769">
        <v>2018</v>
      </c>
      <c r="W6" s="788">
        <v>2019</v>
      </c>
      <c r="X6" s="805">
        <v>2020</v>
      </c>
      <c r="Y6" s="825">
        <v>2021</v>
      </c>
      <c r="Z6" s="598" t="s">
        <v>308</v>
      </c>
      <c r="AA6" s="31"/>
      <c r="AD6" s="13"/>
    </row>
    <row r="7" spans="2:33" ht="15" customHeight="1" x14ac:dyDescent="0.25">
      <c r="B7" s="558"/>
      <c r="C7" s="25"/>
      <c r="D7" s="1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74"/>
      <c r="AA7" s="79"/>
      <c r="AB7" s="43"/>
      <c r="AD7" s="13"/>
    </row>
    <row r="8" spans="2:33" ht="15" customHeight="1" x14ac:dyDescent="0.25">
      <c r="B8" s="554" t="s">
        <v>86</v>
      </c>
      <c r="C8" s="22">
        <v>10597662</v>
      </c>
      <c r="D8" s="11">
        <v>11388342</v>
      </c>
      <c r="E8" s="137">
        <v>11107235</v>
      </c>
      <c r="F8" s="137">
        <v>11377783</v>
      </c>
      <c r="G8" s="137">
        <v>10830690</v>
      </c>
      <c r="H8" s="137">
        <v>11326914</v>
      </c>
      <c r="I8" s="137">
        <v>11095175</v>
      </c>
      <c r="J8" s="137">
        <v>10954057</v>
      </c>
      <c r="K8" s="137">
        <v>12406459</v>
      </c>
      <c r="L8" s="137">
        <v>13568719</v>
      </c>
      <c r="M8" s="137">
        <v>16143784</v>
      </c>
      <c r="N8" s="137">
        <v>15211436</v>
      </c>
      <c r="O8" s="137">
        <v>16713955</v>
      </c>
      <c r="P8" s="137">
        <v>17995654</v>
      </c>
      <c r="Q8" s="137">
        <v>18268193</v>
      </c>
      <c r="R8" s="36">
        <v>19906150.5</v>
      </c>
      <c r="S8" s="707">
        <v>21785267</v>
      </c>
      <c r="T8" s="707">
        <v>23143897.719999999</v>
      </c>
      <c r="U8" s="707">
        <v>24072029.490000002</v>
      </c>
      <c r="V8" s="707">
        <v>24829113.609999999</v>
      </c>
      <c r="W8" s="707">
        <v>26270059</v>
      </c>
      <c r="X8" s="707">
        <v>26573653.620000001</v>
      </c>
      <c r="Y8" s="707">
        <v>16898412.07</v>
      </c>
      <c r="Z8" s="175">
        <f>RATE(22,,C8,-Y8)</f>
        <v>2.1434963645801892E-2</v>
      </c>
      <c r="AA8" s="79"/>
      <c r="AB8" s="43"/>
      <c r="AD8" s="13"/>
    </row>
    <row r="9" spans="2:33" ht="15" customHeight="1" x14ac:dyDescent="0.25">
      <c r="B9" s="554" t="s">
        <v>87</v>
      </c>
      <c r="C9" s="22">
        <v>10397019</v>
      </c>
      <c r="D9" s="11">
        <v>10784118</v>
      </c>
      <c r="E9" s="137">
        <v>10070786</v>
      </c>
      <c r="F9" s="137">
        <v>10427245</v>
      </c>
      <c r="G9" s="137">
        <v>10516859</v>
      </c>
      <c r="H9" s="137">
        <v>10271744</v>
      </c>
      <c r="I9" s="137">
        <v>9981456</v>
      </c>
      <c r="J9" s="137">
        <v>10497285</v>
      </c>
      <c r="K9" s="137">
        <v>11947623</v>
      </c>
      <c r="L9" s="137">
        <v>12498441</v>
      </c>
      <c r="M9" s="137">
        <v>13568827</v>
      </c>
      <c r="N9" s="137">
        <v>15076470</v>
      </c>
      <c r="O9" s="137">
        <v>16468412</v>
      </c>
      <c r="P9" s="137">
        <v>16984621</v>
      </c>
      <c r="Q9" s="137">
        <v>16727378</v>
      </c>
      <c r="R9" s="36">
        <v>18539614.550000001</v>
      </c>
      <c r="S9" s="707">
        <v>20000710</v>
      </c>
      <c r="T9" s="707">
        <v>22774079.370000001</v>
      </c>
      <c r="U9" s="707">
        <v>23030156</v>
      </c>
      <c r="V9" s="707">
        <v>22087038.969999999</v>
      </c>
      <c r="W9" s="707">
        <v>25418098</v>
      </c>
      <c r="X9" s="707">
        <v>26414223.130000003</v>
      </c>
      <c r="Y9" s="707">
        <v>20460213.799999997</v>
      </c>
      <c r="Z9" s="175">
        <f t="shared" ref="Z9:Z11" si="0">RATE(22,,C9,-Y9)</f>
        <v>3.1249371360212649E-2</v>
      </c>
      <c r="AA9" s="79"/>
      <c r="AB9" s="43"/>
      <c r="AD9" s="13"/>
    </row>
    <row r="10" spans="2:33" ht="15" customHeight="1" x14ac:dyDescent="0.25">
      <c r="B10" s="554" t="s">
        <v>88</v>
      </c>
      <c r="C10" s="22">
        <v>12099075</v>
      </c>
      <c r="D10" s="11">
        <v>11697388</v>
      </c>
      <c r="E10" s="137">
        <v>11364726</v>
      </c>
      <c r="F10" s="137">
        <v>11950300</v>
      </c>
      <c r="G10" s="137">
        <v>10708766</v>
      </c>
      <c r="H10" s="137">
        <v>12391692</v>
      </c>
      <c r="I10" s="137">
        <v>12585381.539999999</v>
      </c>
      <c r="J10" s="137">
        <v>12618104</v>
      </c>
      <c r="K10" s="137">
        <v>13639635</v>
      </c>
      <c r="L10" s="137">
        <v>13493535</v>
      </c>
      <c r="M10" s="137">
        <v>16102898</v>
      </c>
      <c r="N10" s="137">
        <v>17506813</v>
      </c>
      <c r="O10" s="137">
        <v>17393907</v>
      </c>
      <c r="P10" s="137">
        <v>18667020</v>
      </c>
      <c r="Q10" s="137">
        <v>18137280</v>
      </c>
      <c r="R10" s="36">
        <v>19592101.25</v>
      </c>
      <c r="S10" s="707">
        <v>22337070</v>
      </c>
      <c r="T10" s="707">
        <v>25508955.549999997</v>
      </c>
      <c r="U10" s="707">
        <v>26253015</v>
      </c>
      <c r="V10" s="707">
        <v>28097565.640000001</v>
      </c>
      <c r="W10" s="707">
        <v>27215709</v>
      </c>
      <c r="X10" s="707">
        <v>19691611.25</v>
      </c>
      <c r="Y10" s="707">
        <v>26235899.899999999</v>
      </c>
      <c r="Z10" s="175">
        <f t="shared" si="0"/>
        <v>3.5808006034611511E-2</v>
      </c>
      <c r="AA10" s="79"/>
      <c r="AB10" s="43"/>
      <c r="AD10" s="13"/>
    </row>
    <row r="11" spans="2:33" ht="15" customHeight="1" x14ac:dyDescent="0.25">
      <c r="B11" s="555" t="s">
        <v>115</v>
      </c>
      <c r="C11" s="21">
        <f>SUM(C8:C10)</f>
        <v>33093756</v>
      </c>
      <c r="D11" s="17">
        <f>SUM(D8:D10)</f>
        <v>33869848</v>
      </c>
      <c r="E11" s="138">
        <f>SUM(E8:E10)</f>
        <v>32542747</v>
      </c>
      <c r="F11" s="138">
        <f>SUM(F8:F10)</f>
        <v>33755328</v>
      </c>
      <c r="G11" s="138">
        <f t="shared" ref="G11:Y11" si="1">+G8+G9+G10</f>
        <v>32056315</v>
      </c>
      <c r="H11" s="138">
        <f t="shared" si="1"/>
        <v>33990350</v>
      </c>
      <c r="I11" s="138">
        <f t="shared" si="1"/>
        <v>33662012.539999999</v>
      </c>
      <c r="J11" s="138">
        <f t="shared" si="1"/>
        <v>34069446</v>
      </c>
      <c r="K11" s="138">
        <f t="shared" si="1"/>
        <v>37993717</v>
      </c>
      <c r="L11" s="138">
        <f t="shared" si="1"/>
        <v>39560695</v>
      </c>
      <c r="M11" s="138">
        <f t="shared" si="1"/>
        <v>45815509</v>
      </c>
      <c r="N11" s="138">
        <f t="shared" si="1"/>
        <v>47794719</v>
      </c>
      <c r="O11" s="138">
        <f t="shared" si="1"/>
        <v>50576274</v>
      </c>
      <c r="P11" s="138">
        <f t="shared" si="1"/>
        <v>53647295</v>
      </c>
      <c r="Q11" s="138">
        <f t="shared" si="1"/>
        <v>53132851</v>
      </c>
      <c r="R11" s="17">
        <f t="shared" si="1"/>
        <v>58037866.299999997</v>
      </c>
      <c r="S11" s="17">
        <f t="shared" si="1"/>
        <v>64123047</v>
      </c>
      <c r="T11" s="17">
        <f t="shared" si="1"/>
        <v>71426932.640000001</v>
      </c>
      <c r="U11" s="17">
        <f t="shared" si="1"/>
        <v>73355200.49000001</v>
      </c>
      <c r="V11" s="17">
        <f t="shared" si="1"/>
        <v>75013718.219999999</v>
      </c>
      <c r="W11" s="17">
        <f t="shared" si="1"/>
        <v>78903866</v>
      </c>
      <c r="X11" s="17">
        <f t="shared" si="1"/>
        <v>72679488</v>
      </c>
      <c r="Y11" s="17">
        <f t="shared" si="1"/>
        <v>63594525.769999996</v>
      </c>
      <c r="Z11" s="687">
        <f t="shared" si="0"/>
        <v>3.0135272247338987E-2</v>
      </c>
      <c r="AA11" s="81"/>
      <c r="AB11" s="43"/>
      <c r="AD11" s="13"/>
    </row>
    <row r="12" spans="2:33" ht="15" customHeight="1" x14ac:dyDescent="0.25">
      <c r="B12" s="554"/>
      <c r="C12" s="22"/>
      <c r="D12" s="11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1"/>
      <c r="S12" s="137"/>
      <c r="T12" s="137"/>
      <c r="U12" s="137"/>
      <c r="V12" s="137"/>
      <c r="W12" s="137"/>
      <c r="X12" s="137"/>
      <c r="Y12" s="137"/>
      <c r="Z12" s="176"/>
      <c r="AA12" s="79"/>
      <c r="AB12" s="43"/>
      <c r="AD12" s="13"/>
    </row>
    <row r="13" spans="2:33" ht="15" customHeight="1" x14ac:dyDescent="0.25">
      <c r="B13" s="554" t="s">
        <v>89</v>
      </c>
      <c r="C13" s="22">
        <v>11600336</v>
      </c>
      <c r="D13" s="11">
        <v>10796297</v>
      </c>
      <c r="E13" s="137">
        <v>11036658</v>
      </c>
      <c r="F13" s="137">
        <v>10948550</v>
      </c>
      <c r="G13" s="137">
        <v>11229822</v>
      </c>
      <c r="H13" s="137">
        <v>11793061</v>
      </c>
      <c r="I13" s="137">
        <v>11027998.029999999</v>
      </c>
      <c r="J13" s="137">
        <v>10792326</v>
      </c>
      <c r="K13" s="137">
        <v>12305889</v>
      </c>
      <c r="L13" s="137">
        <v>13584931</v>
      </c>
      <c r="M13" s="137">
        <v>15922308</v>
      </c>
      <c r="N13" s="137">
        <v>16606179</v>
      </c>
      <c r="O13" s="137">
        <v>17026281</v>
      </c>
      <c r="P13" s="137">
        <v>16790403</v>
      </c>
      <c r="Q13" s="137">
        <v>18373199</v>
      </c>
      <c r="R13" s="36">
        <v>20624440.200000003</v>
      </c>
      <c r="S13" s="707">
        <v>22594899</v>
      </c>
      <c r="T13" s="707">
        <v>24589301</v>
      </c>
      <c r="U13" s="707">
        <v>25286559.100000001</v>
      </c>
      <c r="V13" s="707">
        <v>25308574.800000001</v>
      </c>
      <c r="W13" s="707">
        <v>27383611.649999999</v>
      </c>
      <c r="X13" s="707">
        <v>8927110.7800000012</v>
      </c>
      <c r="Y13" s="707">
        <v>25119833.599999998</v>
      </c>
      <c r="Z13" s="175">
        <f>RATE(22,,C13,-Y13)</f>
        <v>3.5743221071669121E-2</v>
      </c>
      <c r="AA13" s="79"/>
      <c r="AB13" s="43"/>
      <c r="AD13" s="13"/>
    </row>
    <row r="14" spans="2:33" ht="15" customHeight="1" x14ac:dyDescent="0.25">
      <c r="B14" s="554" t="s">
        <v>90</v>
      </c>
      <c r="C14" s="22">
        <v>10786410</v>
      </c>
      <c r="D14" s="11">
        <v>11158598</v>
      </c>
      <c r="E14" s="137">
        <v>10501679</v>
      </c>
      <c r="F14" s="137">
        <v>11516960</v>
      </c>
      <c r="G14" s="137">
        <v>11203253</v>
      </c>
      <c r="H14" s="137">
        <v>10551841</v>
      </c>
      <c r="I14" s="137">
        <v>11772389.539999999</v>
      </c>
      <c r="J14" s="137">
        <v>10918431</v>
      </c>
      <c r="K14" s="137">
        <v>12780501</v>
      </c>
      <c r="L14" s="137">
        <v>13070220</v>
      </c>
      <c r="M14" s="137">
        <v>15470598</v>
      </c>
      <c r="N14" s="137">
        <v>16001551</v>
      </c>
      <c r="O14" s="137">
        <v>16541640</v>
      </c>
      <c r="P14" s="137">
        <v>18331519</v>
      </c>
      <c r="Q14" s="137">
        <v>19257501</v>
      </c>
      <c r="R14" s="36">
        <v>20031174.549999997</v>
      </c>
      <c r="S14" s="707">
        <v>21679283</v>
      </c>
      <c r="T14" s="707">
        <v>23916554.979999997</v>
      </c>
      <c r="U14" s="707">
        <v>25962897.329999998</v>
      </c>
      <c r="V14" s="707">
        <v>25641820.740000002</v>
      </c>
      <c r="W14" s="707">
        <v>26858072</v>
      </c>
      <c r="X14" s="707">
        <v>11286546.199999999</v>
      </c>
      <c r="Y14" s="707">
        <v>25365058.210000001</v>
      </c>
      <c r="Z14" s="175">
        <f t="shared" ref="Z14:Z16" si="2">RATE(22,,C14,-Y14)</f>
        <v>3.9632749532194526E-2</v>
      </c>
      <c r="AA14" s="79"/>
      <c r="AB14" s="43"/>
      <c r="AD14" s="13"/>
    </row>
    <row r="15" spans="2:33" ht="15" customHeight="1" x14ac:dyDescent="0.25">
      <c r="B15" s="554" t="s">
        <v>91</v>
      </c>
      <c r="C15" s="22">
        <v>10990988</v>
      </c>
      <c r="D15" s="11">
        <v>11192464</v>
      </c>
      <c r="E15" s="137">
        <v>10880428</v>
      </c>
      <c r="F15" s="137">
        <v>10555870</v>
      </c>
      <c r="G15" s="137">
        <v>10658149</v>
      </c>
      <c r="H15" s="137">
        <v>10910320</v>
      </c>
      <c r="I15" s="137">
        <v>10919316.939999999</v>
      </c>
      <c r="J15" s="137">
        <v>11129629</v>
      </c>
      <c r="K15" s="137">
        <v>12321088</v>
      </c>
      <c r="L15" s="137">
        <v>12071076</v>
      </c>
      <c r="M15" s="137">
        <v>14525906</v>
      </c>
      <c r="N15" s="137">
        <v>16679968</v>
      </c>
      <c r="O15" s="137">
        <v>17227106</v>
      </c>
      <c r="P15" s="137">
        <v>17890875</v>
      </c>
      <c r="Q15" s="137">
        <v>17461168</v>
      </c>
      <c r="R15" s="36">
        <v>18957872.640000001</v>
      </c>
      <c r="S15" s="707">
        <v>21770956</v>
      </c>
      <c r="T15" s="707">
        <v>23387193.380000003</v>
      </c>
      <c r="U15" s="707">
        <v>24877338.740000002</v>
      </c>
      <c r="V15" s="707">
        <v>24888773.91</v>
      </c>
      <c r="W15" s="707">
        <v>26371251</v>
      </c>
      <c r="X15" s="707">
        <v>15686676.300000001</v>
      </c>
      <c r="Y15" s="707">
        <v>25234736</v>
      </c>
      <c r="Z15" s="175">
        <f t="shared" si="2"/>
        <v>3.8502066543637324E-2</v>
      </c>
      <c r="AA15" s="79"/>
      <c r="AB15" s="43"/>
      <c r="AD15" s="13"/>
    </row>
    <row r="16" spans="2:33" ht="15" customHeight="1" x14ac:dyDescent="0.25">
      <c r="B16" s="555" t="s">
        <v>116</v>
      </c>
      <c r="C16" s="21">
        <f>SUM(C13:C15)</f>
        <v>33377734</v>
      </c>
      <c r="D16" s="17">
        <f>SUM(D13:D15)</f>
        <v>33147359</v>
      </c>
      <c r="E16" s="138">
        <f>SUM(E13:E15)</f>
        <v>32418765</v>
      </c>
      <c r="F16" s="138">
        <f>SUM(F13:F15)</f>
        <v>33021380</v>
      </c>
      <c r="G16" s="138">
        <f t="shared" ref="G16:Y16" si="3">+G13+G14+G15</f>
        <v>33091224</v>
      </c>
      <c r="H16" s="138">
        <f t="shared" si="3"/>
        <v>33255222</v>
      </c>
      <c r="I16" s="138">
        <f t="shared" si="3"/>
        <v>33719704.509999998</v>
      </c>
      <c r="J16" s="138">
        <f t="shared" si="3"/>
        <v>32840386</v>
      </c>
      <c r="K16" s="138">
        <f t="shared" si="3"/>
        <v>37407478</v>
      </c>
      <c r="L16" s="138">
        <f t="shared" si="3"/>
        <v>38726227</v>
      </c>
      <c r="M16" s="138">
        <f t="shared" si="3"/>
        <v>45918812</v>
      </c>
      <c r="N16" s="138">
        <f t="shared" si="3"/>
        <v>49287698</v>
      </c>
      <c r="O16" s="138">
        <f t="shared" si="3"/>
        <v>50795027</v>
      </c>
      <c r="P16" s="138">
        <f t="shared" si="3"/>
        <v>53012797</v>
      </c>
      <c r="Q16" s="138">
        <f t="shared" si="3"/>
        <v>55091868</v>
      </c>
      <c r="R16" s="17">
        <f t="shared" si="3"/>
        <v>59613487.390000001</v>
      </c>
      <c r="S16" s="17">
        <f t="shared" si="3"/>
        <v>66045138</v>
      </c>
      <c r="T16" s="17">
        <f t="shared" si="3"/>
        <v>71893049.359999999</v>
      </c>
      <c r="U16" s="17">
        <f t="shared" si="3"/>
        <v>76126795.170000002</v>
      </c>
      <c r="V16" s="17">
        <f t="shared" si="3"/>
        <v>75839169.450000003</v>
      </c>
      <c r="W16" s="17">
        <f t="shared" si="3"/>
        <v>80612934.650000006</v>
      </c>
      <c r="X16" s="17">
        <f t="shared" si="3"/>
        <v>35900333.280000001</v>
      </c>
      <c r="Y16" s="17">
        <f t="shared" si="3"/>
        <v>75719627.810000002</v>
      </c>
      <c r="Z16" s="687">
        <f t="shared" si="2"/>
        <v>3.7935887345884899E-2</v>
      </c>
      <c r="AA16" s="81"/>
      <c r="AB16" s="43"/>
      <c r="AD16" s="13"/>
    </row>
    <row r="17" spans="2:30" ht="15" customHeight="1" x14ac:dyDescent="0.25">
      <c r="B17" s="554"/>
      <c r="C17" s="22"/>
      <c r="D17" s="11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1"/>
      <c r="S17" s="137"/>
      <c r="T17" s="137"/>
      <c r="U17" s="137"/>
      <c r="V17" s="137"/>
      <c r="W17" s="137"/>
      <c r="X17" s="137"/>
      <c r="Y17" s="137"/>
      <c r="Z17" s="176"/>
      <c r="AA17" s="79"/>
      <c r="AB17" s="43"/>
      <c r="AD17" s="13"/>
    </row>
    <row r="18" spans="2:30" ht="15" customHeight="1" x14ac:dyDescent="0.25">
      <c r="B18" s="554" t="s">
        <v>93</v>
      </c>
      <c r="C18" s="22">
        <v>11303808</v>
      </c>
      <c r="D18" s="11">
        <v>10619373</v>
      </c>
      <c r="E18" s="137">
        <v>10930123</v>
      </c>
      <c r="F18" s="137">
        <v>11431568</v>
      </c>
      <c r="G18" s="137">
        <v>11392602</v>
      </c>
      <c r="H18" s="137">
        <v>11453407</v>
      </c>
      <c r="I18" s="137">
        <v>11279872.460000001</v>
      </c>
      <c r="J18" s="137">
        <v>11209563</v>
      </c>
      <c r="K18" s="137">
        <v>12815521</v>
      </c>
      <c r="L18" s="137">
        <v>13168033</v>
      </c>
      <c r="M18" s="137">
        <v>16706451</v>
      </c>
      <c r="N18" s="137">
        <v>16953219</v>
      </c>
      <c r="O18" s="137">
        <v>17258366</v>
      </c>
      <c r="P18" s="137">
        <v>18477408</v>
      </c>
      <c r="Q18" s="137">
        <v>19229800</v>
      </c>
      <c r="R18" s="36">
        <v>19878761.209999997</v>
      </c>
      <c r="S18" s="707">
        <v>22793236</v>
      </c>
      <c r="T18" s="707">
        <v>24372906.41</v>
      </c>
      <c r="U18" s="707">
        <v>25438853.450000003</v>
      </c>
      <c r="V18" s="707">
        <v>24966581.850000001</v>
      </c>
      <c r="W18" s="707">
        <v>26663821</v>
      </c>
      <c r="X18" s="707">
        <v>16085653.609999999</v>
      </c>
      <c r="Y18" s="707">
        <v>24948025.599999998</v>
      </c>
      <c r="Z18" s="175">
        <f>RATE(22,,C18,-Y18)</f>
        <v>3.6639591133645018E-2</v>
      </c>
      <c r="AA18" s="79"/>
      <c r="AB18" s="43"/>
      <c r="AD18" s="13"/>
    </row>
    <row r="19" spans="2:30" ht="15" customHeight="1" x14ac:dyDescent="0.25">
      <c r="B19" s="554" t="s">
        <v>94</v>
      </c>
      <c r="C19" s="22">
        <v>11509521</v>
      </c>
      <c r="D19" s="11">
        <v>11288061</v>
      </c>
      <c r="E19" s="137">
        <v>11379532</v>
      </c>
      <c r="F19" s="137">
        <v>11340963</v>
      </c>
      <c r="G19" s="137">
        <v>11289355</v>
      </c>
      <c r="H19" s="137">
        <v>11398815</v>
      </c>
      <c r="I19" s="137">
        <v>11252381.33</v>
      </c>
      <c r="J19" s="137">
        <v>11530606</v>
      </c>
      <c r="K19" s="137">
        <v>13223768</v>
      </c>
      <c r="L19" s="137">
        <v>12761005</v>
      </c>
      <c r="M19" s="137">
        <v>15182439</v>
      </c>
      <c r="N19" s="137">
        <v>17005855</v>
      </c>
      <c r="O19" s="137">
        <v>17952988</v>
      </c>
      <c r="P19" s="137">
        <v>18734531</v>
      </c>
      <c r="Q19" s="137">
        <v>19072190</v>
      </c>
      <c r="R19" s="36">
        <v>20428357.969999999</v>
      </c>
      <c r="S19" s="707">
        <v>22880889</v>
      </c>
      <c r="T19" s="707">
        <v>26137401.210000001</v>
      </c>
      <c r="U19" s="707">
        <v>25802040</v>
      </c>
      <c r="V19" s="707">
        <v>26397326.259999998</v>
      </c>
      <c r="W19" s="707">
        <v>28688540</v>
      </c>
      <c r="X19" s="707">
        <v>17046905.879999999</v>
      </c>
      <c r="Y19" s="707">
        <v>25959317.700000003</v>
      </c>
      <c r="Z19" s="175">
        <f t="shared" ref="Z19:Z21" si="4">RATE(22,,C19,-Y19)</f>
        <v>3.7662645313139849E-2</v>
      </c>
      <c r="AA19" s="79"/>
      <c r="AD19" s="13"/>
    </row>
    <row r="20" spans="2:30" ht="15" customHeight="1" x14ac:dyDescent="0.25">
      <c r="B20" s="554" t="s">
        <v>101</v>
      </c>
      <c r="C20" s="22">
        <v>10788861</v>
      </c>
      <c r="D20" s="11">
        <v>10885399</v>
      </c>
      <c r="E20" s="137">
        <v>9953818</v>
      </c>
      <c r="F20" s="137">
        <v>10997636</v>
      </c>
      <c r="G20" s="137">
        <v>10977904</v>
      </c>
      <c r="H20" s="137">
        <v>11130792</v>
      </c>
      <c r="I20" s="137">
        <v>10894078.039999999</v>
      </c>
      <c r="J20" s="137">
        <v>11160943</v>
      </c>
      <c r="K20" s="137">
        <v>12617590</v>
      </c>
      <c r="L20" s="137">
        <v>13297209</v>
      </c>
      <c r="M20" s="137">
        <v>14829704</v>
      </c>
      <c r="N20" s="137">
        <v>16720191</v>
      </c>
      <c r="O20" s="137">
        <v>16999897</v>
      </c>
      <c r="P20" s="137">
        <v>16904048</v>
      </c>
      <c r="Q20" s="137">
        <v>17888184</v>
      </c>
      <c r="R20" s="36">
        <v>19791496.299999997</v>
      </c>
      <c r="S20" s="707">
        <v>22772104</v>
      </c>
      <c r="T20" s="707">
        <v>24099399.310000002</v>
      </c>
      <c r="U20" s="707">
        <v>25149075</v>
      </c>
      <c r="V20" s="707">
        <v>24544023.43</v>
      </c>
      <c r="W20" s="707">
        <v>26383771</v>
      </c>
      <c r="X20" s="707">
        <v>19556251.810000002</v>
      </c>
      <c r="Y20" s="707">
        <v>26025003.899999999</v>
      </c>
      <c r="Z20" s="175">
        <f t="shared" si="4"/>
        <v>4.0836489697112295E-2</v>
      </c>
      <c r="AA20" s="79"/>
      <c r="AD20" s="13"/>
    </row>
    <row r="21" spans="2:30" ht="15" customHeight="1" x14ac:dyDescent="0.25">
      <c r="B21" s="555" t="s">
        <v>117</v>
      </c>
      <c r="C21" s="21">
        <f>SUM(C18:C20)</f>
        <v>33602190</v>
      </c>
      <c r="D21" s="17">
        <f>SUM(D18:D20)</f>
        <v>32792833</v>
      </c>
      <c r="E21" s="138">
        <f>SUM(E18:E20)</f>
        <v>32263473</v>
      </c>
      <c r="F21" s="138">
        <f>SUM(F18:F20)</f>
        <v>33770167</v>
      </c>
      <c r="G21" s="138">
        <f t="shared" ref="G21:Y21" si="5">+G18+G19+G20</f>
        <v>33659861</v>
      </c>
      <c r="H21" s="138">
        <f t="shared" si="5"/>
        <v>33983014</v>
      </c>
      <c r="I21" s="138">
        <f t="shared" si="5"/>
        <v>33426331.829999998</v>
      </c>
      <c r="J21" s="138">
        <f t="shared" si="5"/>
        <v>33901112</v>
      </c>
      <c r="K21" s="138">
        <f t="shared" si="5"/>
        <v>38656879</v>
      </c>
      <c r="L21" s="138">
        <f t="shared" si="5"/>
        <v>39226247</v>
      </c>
      <c r="M21" s="138">
        <f t="shared" si="5"/>
        <v>46718594</v>
      </c>
      <c r="N21" s="138">
        <f t="shared" si="5"/>
        <v>50679265</v>
      </c>
      <c r="O21" s="138">
        <f t="shared" si="5"/>
        <v>52211251</v>
      </c>
      <c r="P21" s="138">
        <f t="shared" si="5"/>
        <v>54115987</v>
      </c>
      <c r="Q21" s="138">
        <f t="shared" si="5"/>
        <v>56190174</v>
      </c>
      <c r="R21" s="17">
        <f t="shared" si="5"/>
        <v>60098615.479999989</v>
      </c>
      <c r="S21" s="17">
        <f t="shared" si="5"/>
        <v>68446229</v>
      </c>
      <c r="T21" s="17">
        <f t="shared" si="5"/>
        <v>74609706.930000007</v>
      </c>
      <c r="U21" s="17">
        <f t="shared" si="5"/>
        <v>76389968.450000003</v>
      </c>
      <c r="V21" s="17">
        <f t="shared" si="5"/>
        <v>75907931.539999992</v>
      </c>
      <c r="W21" s="17">
        <f t="shared" si="5"/>
        <v>81736132</v>
      </c>
      <c r="X21" s="17">
        <f t="shared" si="5"/>
        <v>52688811.299999997</v>
      </c>
      <c r="Y21" s="17">
        <f t="shared" si="5"/>
        <v>76932347.199999988</v>
      </c>
      <c r="Z21" s="687">
        <f t="shared" si="4"/>
        <v>3.8369401217295124E-2</v>
      </c>
      <c r="AA21" s="81"/>
      <c r="AD21" s="13"/>
    </row>
    <row r="22" spans="2:30" ht="15" customHeight="1" x14ac:dyDescent="0.25">
      <c r="B22" s="554"/>
      <c r="C22" s="22"/>
      <c r="D22" s="11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1"/>
      <c r="S22" s="137"/>
      <c r="T22" s="137"/>
      <c r="U22" s="137"/>
      <c r="V22" s="137"/>
      <c r="W22" s="137"/>
      <c r="X22" s="137"/>
      <c r="Y22" s="137"/>
      <c r="Z22" s="176"/>
      <c r="AA22" s="79"/>
      <c r="AD22" s="13"/>
    </row>
    <row r="23" spans="2:30" ht="15" customHeight="1" x14ac:dyDescent="0.25">
      <c r="B23" s="554" t="s">
        <v>95</v>
      </c>
      <c r="C23" s="22">
        <v>10893599</v>
      </c>
      <c r="D23" s="11">
        <v>11119213</v>
      </c>
      <c r="E23" s="137">
        <v>10589436</v>
      </c>
      <c r="F23" s="137">
        <v>11625464</v>
      </c>
      <c r="G23" s="137">
        <v>12044199</v>
      </c>
      <c r="H23" s="137">
        <v>10835928</v>
      </c>
      <c r="I23" s="137">
        <v>10167115.640000001</v>
      </c>
      <c r="J23" s="137">
        <v>12116675</v>
      </c>
      <c r="K23" s="137">
        <v>14405007</v>
      </c>
      <c r="L23" s="137">
        <v>14110986</v>
      </c>
      <c r="M23" s="137">
        <v>16931857</v>
      </c>
      <c r="N23" s="137">
        <v>17339861</v>
      </c>
      <c r="O23" s="137">
        <v>17697291</v>
      </c>
      <c r="P23" s="137">
        <v>17576362</v>
      </c>
      <c r="Q23" s="137">
        <v>19445611</v>
      </c>
      <c r="R23" s="36">
        <v>20991326.219999999</v>
      </c>
      <c r="S23" s="707">
        <v>24176375</v>
      </c>
      <c r="T23" s="707">
        <v>25004547.539999999</v>
      </c>
      <c r="U23" s="707">
        <v>25593223.27</v>
      </c>
      <c r="V23" s="707">
        <v>25866936.280000001</v>
      </c>
      <c r="W23" s="707">
        <v>27813310</v>
      </c>
      <c r="X23" s="707">
        <v>23118125.68</v>
      </c>
      <c r="Y23" s="707">
        <v>26926751.060000002</v>
      </c>
      <c r="Z23" s="175">
        <f>RATE(22,,C23,-Y23)</f>
        <v>4.199157562209873E-2</v>
      </c>
      <c r="AA23" s="79"/>
      <c r="AD23" s="13"/>
    </row>
    <row r="24" spans="2:30" ht="15" customHeight="1" x14ac:dyDescent="0.25">
      <c r="B24" s="554" t="s">
        <v>96</v>
      </c>
      <c r="C24" s="22">
        <v>11007416</v>
      </c>
      <c r="D24" s="11">
        <v>10514475</v>
      </c>
      <c r="E24" s="137">
        <v>11386409</v>
      </c>
      <c r="F24" s="137">
        <v>10608064</v>
      </c>
      <c r="G24" s="137">
        <v>11016597</v>
      </c>
      <c r="H24" s="137">
        <v>10779801</v>
      </c>
      <c r="I24" s="137">
        <v>10547295.35</v>
      </c>
      <c r="J24" s="137">
        <v>11193228</v>
      </c>
      <c r="K24" s="137">
        <v>12676521</v>
      </c>
      <c r="L24" s="137">
        <v>13384999</v>
      </c>
      <c r="M24" s="137">
        <v>14209194</v>
      </c>
      <c r="N24" s="137">
        <v>16068123</v>
      </c>
      <c r="O24" s="137">
        <v>16215584</v>
      </c>
      <c r="P24" s="137">
        <v>18169256</v>
      </c>
      <c r="Q24" s="137">
        <v>19764040</v>
      </c>
      <c r="R24" s="36">
        <v>19656075.18</v>
      </c>
      <c r="S24" s="707">
        <v>21458143</v>
      </c>
      <c r="T24" s="707">
        <v>23156090.649999999</v>
      </c>
      <c r="U24" s="707">
        <v>24473204.829999998</v>
      </c>
      <c r="V24" s="707">
        <v>24696505.240000002</v>
      </c>
      <c r="W24" s="707">
        <v>26490809.100000001</v>
      </c>
      <c r="X24" s="707">
        <v>21680148.300000001</v>
      </c>
      <c r="Y24" s="707">
        <v>24602104.050000001</v>
      </c>
      <c r="Z24" s="175">
        <f t="shared" ref="Z24:Z26" si="6">RATE(22,,C24,-Y24)</f>
        <v>3.7233836811567639E-2</v>
      </c>
      <c r="AA24" s="79"/>
      <c r="AD24" s="13"/>
    </row>
    <row r="25" spans="2:30" ht="15" customHeight="1" x14ac:dyDescent="0.25">
      <c r="B25" s="554" t="s">
        <v>97</v>
      </c>
      <c r="C25" s="22">
        <v>11684124</v>
      </c>
      <c r="D25" s="11">
        <v>11727621</v>
      </c>
      <c r="E25" s="137">
        <v>12212836</v>
      </c>
      <c r="F25" s="137">
        <v>12133817</v>
      </c>
      <c r="G25" s="137">
        <v>12360450</v>
      </c>
      <c r="H25" s="137">
        <v>12747019</v>
      </c>
      <c r="I25" s="137">
        <v>13159688.640000001</v>
      </c>
      <c r="J25" s="137">
        <v>13375026</v>
      </c>
      <c r="K25" s="137">
        <v>14210415</v>
      </c>
      <c r="L25" s="137">
        <v>15627206</v>
      </c>
      <c r="M25" s="137">
        <v>17394461</v>
      </c>
      <c r="N25" s="137">
        <v>19129467</v>
      </c>
      <c r="O25" s="137">
        <v>19847306</v>
      </c>
      <c r="P25" s="137">
        <v>19232467</v>
      </c>
      <c r="Q25" s="137">
        <v>19855406</v>
      </c>
      <c r="R25" s="36">
        <v>22520067.210000001</v>
      </c>
      <c r="S25" s="707">
        <v>25866770</v>
      </c>
      <c r="T25" s="707">
        <v>26500494.52</v>
      </c>
      <c r="U25" s="707">
        <v>27499446.450000003</v>
      </c>
      <c r="V25" s="707">
        <v>27860254.119999997</v>
      </c>
      <c r="W25" s="707">
        <v>29377578.100000001</v>
      </c>
      <c r="X25" s="707">
        <v>24128431.18</v>
      </c>
      <c r="Y25" s="707">
        <v>29967139.390000001</v>
      </c>
      <c r="Z25" s="175">
        <f t="shared" si="6"/>
        <v>4.3741958049187631E-2</v>
      </c>
      <c r="AA25" s="79"/>
      <c r="AD25" s="13"/>
    </row>
    <row r="26" spans="2:30" ht="15" customHeight="1" x14ac:dyDescent="0.25">
      <c r="B26" s="555" t="s">
        <v>118</v>
      </c>
      <c r="C26" s="21">
        <f>SUM(C23:C25)</f>
        <v>33585139</v>
      </c>
      <c r="D26" s="17">
        <f>SUM(D23:D25)</f>
        <v>33361309</v>
      </c>
      <c r="E26" s="138">
        <f>SUM(E23:E25)</f>
        <v>34188681</v>
      </c>
      <c r="F26" s="138">
        <f>SUM(F23:F25)</f>
        <v>34367345</v>
      </c>
      <c r="G26" s="138">
        <f t="shared" ref="G26:U26" si="7">+G23+G24+G25</f>
        <v>35421246</v>
      </c>
      <c r="H26" s="138">
        <f t="shared" si="7"/>
        <v>34362748</v>
      </c>
      <c r="I26" s="138">
        <f t="shared" si="7"/>
        <v>33874099.630000003</v>
      </c>
      <c r="J26" s="138">
        <f t="shared" si="7"/>
        <v>36684929</v>
      </c>
      <c r="K26" s="138">
        <f t="shared" si="7"/>
        <v>41291943</v>
      </c>
      <c r="L26" s="138">
        <f t="shared" si="7"/>
        <v>43123191</v>
      </c>
      <c r="M26" s="138">
        <f t="shared" si="7"/>
        <v>48535512</v>
      </c>
      <c r="N26" s="138">
        <f t="shared" si="7"/>
        <v>52537451</v>
      </c>
      <c r="O26" s="138">
        <f t="shared" si="7"/>
        <v>53760181</v>
      </c>
      <c r="P26" s="138">
        <f t="shared" si="7"/>
        <v>54978085</v>
      </c>
      <c r="Q26" s="138">
        <f t="shared" si="7"/>
        <v>59065057</v>
      </c>
      <c r="R26" s="17">
        <f t="shared" si="7"/>
        <v>63167468.609999999</v>
      </c>
      <c r="S26" s="17">
        <f t="shared" si="7"/>
        <v>71501288</v>
      </c>
      <c r="T26" s="17">
        <f t="shared" si="7"/>
        <v>74661132.709999993</v>
      </c>
      <c r="U26" s="17">
        <f t="shared" si="7"/>
        <v>77565874.549999997</v>
      </c>
      <c r="V26" s="17">
        <f t="shared" ref="V26:Y26" si="8">+V23+V24+V25</f>
        <v>78423695.640000001</v>
      </c>
      <c r="W26" s="17">
        <f t="shared" si="8"/>
        <v>83681697.200000003</v>
      </c>
      <c r="X26" s="17">
        <f t="shared" si="8"/>
        <v>68926705.159999996</v>
      </c>
      <c r="Y26" s="17">
        <f t="shared" si="8"/>
        <v>81495994.5</v>
      </c>
      <c r="Z26" s="687">
        <f t="shared" si="6"/>
        <v>4.1116921389868451E-2</v>
      </c>
      <c r="AA26" s="81"/>
      <c r="AD26" s="13"/>
    </row>
    <row r="27" spans="2:30" ht="15" customHeight="1" thickBot="1" x14ac:dyDescent="0.3">
      <c r="B27" s="596"/>
      <c r="C27" s="22"/>
      <c r="D27" s="11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1"/>
      <c r="S27" s="137"/>
      <c r="T27" s="137"/>
      <c r="U27" s="137"/>
      <c r="V27" s="137"/>
      <c r="W27" s="137"/>
      <c r="X27" s="137"/>
      <c r="Y27" s="137"/>
      <c r="Z27" s="176"/>
      <c r="AA27" s="79"/>
      <c r="AD27" s="13"/>
    </row>
    <row r="28" spans="2:30" ht="24.9" customHeight="1" thickBot="1" x14ac:dyDescent="0.3">
      <c r="B28" s="597" t="s">
        <v>119</v>
      </c>
      <c r="C28" s="26">
        <f t="shared" ref="C28:I28" si="9">+C11+C16+C21+C26</f>
        <v>133658819</v>
      </c>
      <c r="D28" s="73">
        <f t="shared" si="9"/>
        <v>133171349</v>
      </c>
      <c r="E28" s="146">
        <f t="shared" si="9"/>
        <v>131413666</v>
      </c>
      <c r="F28" s="146">
        <f t="shared" si="9"/>
        <v>134914220</v>
      </c>
      <c r="G28" s="146">
        <f t="shared" si="9"/>
        <v>134228646</v>
      </c>
      <c r="H28" s="146">
        <f t="shared" si="9"/>
        <v>135591334</v>
      </c>
      <c r="I28" s="146">
        <f t="shared" si="9"/>
        <v>134682148.50999999</v>
      </c>
      <c r="J28" s="146">
        <f t="shared" ref="J28:O28" si="10">+J11+J16+J21+J26</f>
        <v>137495873</v>
      </c>
      <c r="K28" s="146">
        <f t="shared" si="10"/>
        <v>155350017</v>
      </c>
      <c r="L28" s="146">
        <f t="shared" si="10"/>
        <v>160636360</v>
      </c>
      <c r="M28" s="146">
        <f t="shared" si="10"/>
        <v>186988427</v>
      </c>
      <c r="N28" s="146">
        <f t="shared" si="10"/>
        <v>200299133</v>
      </c>
      <c r="O28" s="146">
        <f t="shared" si="10"/>
        <v>207342733</v>
      </c>
      <c r="P28" s="146">
        <f t="shared" ref="P28:U28" si="11">+P11+P16+P21+P26</f>
        <v>215754164</v>
      </c>
      <c r="Q28" s="146">
        <f t="shared" si="11"/>
        <v>223479950</v>
      </c>
      <c r="R28" s="146">
        <f t="shared" si="11"/>
        <v>240917437.77999997</v>
      </c>
      <c r="S28" s="146">
        <f t="shared" si="11"/>
        <v>270115702</v>
      </c>
      <c r="T28" s="146">
        <f t="shared" si="11"/>
        <v>292590821.63999999</v>
      </c>
      <c r="U28" s="146">
        <f t="shared" si="11"/>
        <v>303437838.66000003</v>
      </c>
      <c r="V28" s="146">
        <f t="shared" ref="V28:Y28" si="12">+V11+V16+V21+V26</f>
        <v>305184514.85000002</v>
      </c>
      <c r="W28" s="146">
        <f t="shared" si="12"/>
        <v>324934629.85000002</v>
      </c>
      <c r="X28" s="146">
        <f t="shared" si="12"/>
        <v>230195337.73999998</v>
      </c>
      <c r="Y28" s="146">
        <f t="shared" si="12"/>
        <v>297742495.27999997</v>
      </c>
      <c r="Z28" s="762">
        <f>RATE(22,,C28,-Y28)</f>
        <v>3.707712425210833E-2</v>
      </c>
      <c r="AA28" s="81"/>
      <c r="AD28" s="13"/>
    </row>
    <row r="29" spans="2:30" ht="15" customHeight="1" thickBot="1" x14ac:dyDescent="0.3"/>
    <row r="30" spans="2:30" ht="15" customHeight="1" x14ac:dyDescent="0.25">
      <c r="B30" s="922" t="s">
        <v>100</v>
      </c>
      <c r="C30" s="922" t="s">
        <v>76</v>
      </c>
      <c r="D30" s="933"/>
      <c r="E30" s="933"/>
      <c r="F30" s="933"/>
      <c r="G30" s="933"/>
      <c r="H30" s="933"/>
      <c r="I30" s="933"/>
      <c r="J30" s="933"/>
      <c r="K30" s="933"/>
      <c r="L30" s="933"/>
      <c r="M30" s="933"/>
      <c r="N30" s="933"/>
      <c r="O30" s="933"/>
      <c r="P30" s="933"/>
      <c r="Q30" s="933"/>
      <c r="R30" s="933"/>
      <c r="S30" s="933"/>
      <c r="T30" s="933"/>
      <c r="U30" s="933"/>
      <c r="V30" s="933"/>
      <c r="W30" s="933"/>
      <c r="X30" s="933"/>
      <c r="Y30" s="933"/>
      <c r="Z30" s="934"/>
      <c r="AA30" s="298"/>
      <c r="AD30" s="13"/>
    </row>
    <row r="31" spans="2:30" ht="45" customHeight="1" thickBot="1" x14ac:dyDescent="0.3">
      <c r="B31" s="932"/>
      <c r="C31" s="590">
        <v>1999</v>
      </c>
      <c r="D31" s="588">
        <v>2000</v>
      </c>
      <c r="E31" s="588">
        <v>2001</v>
      </c>
      <c r="F31" s="588">
        <v>2002</v>
      </c>
      <c r="G31" s="588">
        <v>2003</v>
      </c>
      <c r="H31" s="588">
        <v>2004</v>
      </c>
      <c r="I31" s="588">
        <v>2005</v>
      </c>
      <c r="J31" s="588">
        <v>2006</v>
      </c>
      <c r="K31" s="586">
        <v>2007</v>
      </c>
      <c r="L31" s="588">
        <v>2008</v>
      </c>
      <c r="M31" s="588">
        <v>2009</v>
      </c>
      <c r="N31" s="589">
        <v>2010</v>
      </c>
      <c r="O31" s="589">
        <v>2011</v>
      </c>
      <c r="P31" s="589">
        <v>2012</v>
      </c>
      <c r="Q31" s="589">
        <v>2013</v>
      </c>
      <c r="R31" s="589">
        <v>2014</v>
      </c>
      <c r="S31" s="589">
        <v>2015</v>
      </c>
      <c r="T31" s="738">
        <v>2016</v>
      </c>
      <c r="U31" s="756">
        <v>2017</v>
      </c>
      <c r="V31" s="769">
        <v>2018</v>
      </c>
      <c r="W31" s="788">
        <v>2019</v>
      </c>
      <c r="X31" s="805">
        <v>2020</v>
      </c>
      <c r="Y31" s="825">
        <v>2021</v>
      </c>
      <c r="Z31" s="598" t="s">
        <v>308</v>
      </c>
      <c r="AA31" s="31"/>
      <c r="AD31" s="13"/>
    </row>
    <row r="32" spans="2:30" ht="15" customHeight="1" x14ac:dyDescent="0.25">
      <c r="B32" s="558"/>
      <c r="C32" s="25"/>
      <c r="D32" s="1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74"/>
      <c r="AA32" s="79"/>
      <c r="AB32" s="43"/>
      <c r="AD32" s="13"/>
    </row>
    <row r="33" spans="2:30" ht="15" customHeight="1" x14ac:dyDescent="0.25">
      <c r="B33" s="554" t="s">
        <v>86</v>
      </c>
      <c r="C33" s="22">
        <v>8179379</v>
      </c>
      <c r="D33" s="11">
        <v>8985388</v>
      </c>
      <c r="E33" s="137">
        <v>8820322</v>
      </c>
      <c r="F33" s="137">
        <v>8876843</v>
      </c>
      <c r="G33" s="137">
        <v>9065444</v>
      </c>
      <c r="H33" s="137">
        <v>10051681</v>
      </c>
      <c r="I33" s="137">
        <v>10238102.73</v>
      </c>
      <c r="J33" s="137">
        <v>9852788.3699999992</v>
      </c>
      <c r="K33" s="137">
        <v>11509047</v>
      </c>
      <c r="L33" s="137">
        <v>12804464</v>
      </c>
      <c r="M33" s="137">
        <v>14390561</v>
      </c>
      <c r="N33" s="137">
        <v>13477647</v>
      </c>
      <c r="O33" s="137">
        <v>14182198</v>
      </c>
      <c r="P33" s="137">
        <v>15258312</v>
      </c>
      <c r="Q33" s="137">
        <v>14739664</v>
      </c>
      <c r="R33" s="137">
        <v>14975617.859999999</v>
      </c>
      <c r="S33" s="137">
        <v>15576440</v>
      </c>
      <c r="T33" s="137">
        <v>16329734.449999999</v>
      </c>
      <c r="U33" s="137">
        <v>17175104.82</v>
      </c>
      <c r="V33" s="137">
        <v>17277397.309999999</v>
      </c>
      <c r="W33" s="137">
        <v>18912048</v>
      </c>
      <c r="X33" s="707">
        <v>17040320.170000002</v>
      </c>
      <c r="Y33" s="707">
        <v>13276680.439999999</v>
      </c>
      <c r="Z33" s="175">
        <f>RATE(22,,C33,-Y33)</f>
        <v>2.2262041678456631E-2</v>
      </c>
      <c r="AA33" s="79"/>
      <c r="AB33" s="43"/>
      <c r="AD33" s="13"/>
    </row>
    <row r="34" spans="2:30" ht="15" customHeight="1" x14ac:dyDescent="0.25">
      <c r="B34" s="554" t="s">
        <v>87</v>
      </c>
      <c r="C34" s="22">
        <v>7776835</v>
      </c>
      <c r="D34" s="11">
        <v>8751806</v>
      </c>
      <c r="E34" s="137">
        <v>8187169</v>
      </c>
      <c r="F34" s="137">
        <v>8588809</v>
      </c>
      <c r="G34" s="137">
        <v>9145699</v>
      </c>
      <c r="H34" s="137">
        <v>9250870</v>
      </c>
      <c r="I34" s="137">
        <v>9433563.75</v>
      </c>
      <c r="J34" s="137">
        <v>9270158</v>
      </c>
      <c r="K34" s="137">
        <v>10809739</v>
      </c>
      <c r="L34" s="137">
        <v>11781528</v>
      </c>
      <c r="M34" s="137">
        <v>13529466</v>
      </c>
      <c r="N34" s="137">
        <v>13323366</v>
      </c>
      <c r="O34" s="137">
        <v>15380370</v>
      </c>
      <c r="P34" s="137">
        <v>14431785</v>
      </c>
      <c r="Q34" s="137">
        <v>13739424</v>
      </c>
      <c r="R34" s="137">
        <v>14505184.939999999</v>
      </c>
      <c r="S34" s="137">
        <v>14633582</v>
      </c>
      <c r="T34" s="137">
        <v>16490649.960000001</v>
      </c>
      <c r="U34" s="137">
        <v>16795811.559999999</v>
      </c>
      <c r="V34" s="137">
        <v>15417630.359999999</v>
      </c>
      <c r="W34" s="137">
        <v>17992163</v>
      </c>
      <c r="X34" s="707">
        <v>17756596.27</v>
      </c>
      <c r="Y34" s="707">
        <v>15500922.4</v>
      </c>
      <c r="Z34" s="175">
        <f t="shared" ref="Z34:Z36" si="13">RATE(22,,C34,-Y34)</f>
        <v>3.1848936269934021E-2</v>
      </c>
      <c r="AA34" s="79"/>
      <c r="AB34" s="43"/>
      <c r="AD34" s="13"/>
    </row>
    <row r="35" spans="2:30" ht="15" customHeight="1" x14ac:dyDescent="0.25">
      <c r="B35" s="554" t="s">
        <v>88</v>
      </c>
      <c r="C35" s="22">
        <v>9852011</v>
      </c>
      <c r="D35" s="11">
        <v>9810318</v>
      </c>
      <c r="E35" s="137">
        <v>9902857</v>
      </c>
      <c r="F35" s="137">
        <v>10019951</v>
      </c>
      <c r="G35" s="137">
        <v>9272042</v>
      </c>
      <c r="H35" s="137">
        <v>11161632</v>
      </c>
      <c r="I35" s="137">
        <v>11232766.810000001</v>
      </c>
      <c r="J35" s="137">
        <v>11361784</v>
      </c>
      <c r="K35" s="137">
        <v>12911935</v>
      </c>
      <c r="L35" s="137">
        <v>12624717</v>
      </c>
      <c r="M35" s="137">
        <v>15565718</v>
      </c>
      <c r="N35" s="137">
        <v>16398205</v>
      </c>
      <c r="O35" s="137">
        <v>15581601</v>
      </c>
      <c r="P35" s="137">
        <v>16338587</v>
      </c>
      <c r="Q35" s="137">
        <v>14716719</v>
      </c>
      <c r="R35" s="137">
        <v>15018296.59</v>
      </c>
      <c r="S35" s="137">
        <v>16724243</v>
      </c>
      <c r="T35" s="137">
        <v>18350624.02</v>
      </c>
      <c r="U35" s="137">
        <v>19538566.890000001</v>
      </c>
      <c r="V35" s="137">
        <v>19934377.170000002</v>
      </c>
      <c r="W35" s="137">
        <v>18861275</v>
      </c>
      <c r="X35" s="707">
        <v>14251036.34</v>
      </c>
      <c r="Y35" s="707">
        <v>18875210.300000001</v>
      </c>
      <c r="Z35" s="175">
        <f t="shared" si="13"/>
        <v>2.9994390761620381E-2</v>
      </c>
      <c r="AA35" s="79"/>
      <c r="AB35" s="43"/>
      <c r="AD35" s="13"/>
    </row>
    <row r="36" spans="2:30" ht="15" customHeight="1" x14ac:dyDescent="0.25">
      <c r="B36" s="555" t="s">
        <v>115</v>
      </c>
      <c r="C36" s="21">
        <f>SUM(C33:C35)</f>
        <v>25808225</v>
      </c>
      <c r="D36" s="17">
        <f>SUM(D33:D35)</f>
        <v>27547512</v>
      </c>
      <c r="E36" s="138">
        <f>SUM(E33:E35)</f>
        <v>26910348</v>
      </c>
      <c r="F36" s="138">
        <f>SUM(F33:F35)</f>
        <v>27485603</v>
      </c>
      <c r="G36" s="138">
        <f t="shared" ref="G36:Y36" si="14">+G33+G34+G35</f>
        <v>27483185</v>
      </c>
      <c r="H36" s="138">
        <f t="shared" si="14"/>
        <v>30464183</v>
      </c>
      <c r="I36" s="138">
        <f t="shared" si="14"/>
        <v>30904433.289999999</v>
      </c>
      <c r="J36" s="138">
        <f t="shared" si="14"/>
        <v>30484730.369999997</v>
      </c>
      <c r="K36" s="138">
        <f t="shared" si="14"/>
        <v>35230721</v>
      </c>
      <c r="L36" s="138">
        <f t="shared" si="14"/>
        <v>37210709</v>
      </c>
      <c r="M36" s="138">
        <f t="shared" si="14"/>
        <v>43485745</v>
      </c>
      <c r="N36" s="138">
        <f t="shared" si="14"/>
        <v>43199218</v>
      </c>
      <c r="O36" s="138">
        <f t="shared" si="14"/>
        <v>45144169</v>
      </c>
      <c r="P36" s="138">
        <f t="shared" si="14"/>
        <v>46028684</v>
      </c>
      <c r="Q36" s="138">
        <f t="shared" si="14"/>
        <v>43195807</v>
      </c>
      <c r="R36" s="138">
        <f t="shared" si="14"/>
        <v>44499099.390000001</v>
      </c>
      <c r="S36" s="138">
        <f t="shared" si="14"/>
        <v>46934265</v>
      </c>
      <c r="T36" s="138">
        <f t="shared" si="14"/>
        <v>51171008.43</v>
      </c>
      <c r="U36" s="138">
        <f t="shared" si="14"/>
        <v>53509483.269999996</v>
      </c>
      <c r="V36" s="138">
        <f t="shared" si="14"/>
        <v>52629404.840000004</v>
      </c>
      <c r="W36" s="138">
        <f t="shared" si="14"/>
        <v>55765486</v>
      </c>
      <c r="X36" s="17">
        <f t="shared" si="14"/>
        <v>49047952.780000001</v>
      </c>
      <c r="Y36" s="17">
        <f t="shared" si="14"/>
        <v>47652813.140000001</v>
      </c>
      <c r="Z36" s="687">
        <f t="shared" si="13"/>
        <v>2.8267069443465166E-2</v>
      </c>
      <c r="AA36" s="81"/>
      <c r="AB36" s="43"/>
      <c r="AD36" s="13"/>
    </row>
    <row r="37" spans="2:30" ht="15" customHeight="1" x14ac:dyDescent="0.25">
      <c r="B37" s="554"/>
      <c r="C37" s="22"/>
      <c r="D37" s="11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76"/>
      <c r="AA37" s="79"/>
      <c r="AB37" s="43"/>
      <c r="AD37" s="13"/>
    </row>
    <row r="38" spans="2:30" ht="15" customHeight="1" x14ac:dyDescent="0.25">
      <c r="B38" s="554" t="s">
        <v>89</v>
      </c>
      <c r="C38" s="22">
        <v>9261898</v>
      </c>
      <c r="D38" s="11">
        <v>9081498</v>
      </c>
      <c r="E38" s="137">
        <v>9188267</v>
      </c>
      <c r="F38" s="137">
        <v>9427916</v>
      </c>
      <c r="G38" s="137">
        <v>9714481</v>
      </c>
      <c r="H38" s="137">
        <v>11102401</v>
      </c>
      <c r="I38" s="137">
        <v>10240877.619999999</v>
      </c>
      <c r="J38" s="137">
        <v>10301905</v>
      </c>
      <c r="K38" s="137">
        <v>11119527</v>
      </c>
      <c r="L38" s="137">
        <v>13282676</v>
      </c>
      <c r="M38" s="137">
        <v>15155017</v>
      </c>
      <c r="N38" s="137">
        <v>14628047</v>
      </c>
      <c r="O38" s="137">
        <v>15221661</v>
      </c>
      <c r="P38" s="137">
        <v>14409307</v>
      </c>
      <c r="Q38" s="137">
        <v>14378555</v>
      </c>
      <c r="R38" s="137">
        <v>15917305.42</v>
      </c>
      <c r="S38" s="137">
        <v>16665823</v>
      </c>
      <c r="T38" s="137">
        <v>18406508.780000001</v>
      </c>
      <c r="U38" s="137">
        <v>18268570.920000002</v>
      </c>
      <c r="V38" s="137">
        <v>17610862.030000001</v>
      </c>
      <c r="W38" s="137">
        <v>19144890.879999999</v>
      </c>
      <c r="X38" s="707">
        <v>7254140.8300000001</v>
      </c>
      <c r="Y38" s="707">
        <v>17761497.199999999</v>
      </c>
      <c r="Z38" s="175">
        <f>RATE(22,,C38,-Y38)</f>
        <v>3.0038878141823752E-2</v>
      </c>
      <c r="AA38" s="79"/>
      <c r="AB38" s="43"/>
      <c r="AD38" s="13"/>
    </row>
    <row r="39" spans="2:30" ht="15" customHeight="1" x14ac:dyDescent="0.25">
      <c r="B39" s="554" t="s">
        <v>90</v>
      </c>
      <c r="C39" s="22">
        <v>8477399</v>
      </c>
      <c r="D39" s="11">
        <v>9550244</v>
      </c>
      <c r="E39" s="137">
        <v>9138073</v>
      </c>
      <c r="F39" s="137">
        <v>9963587</v>
      </c>
      <c r="G39" s="137">
        <v>9886385</v>
      </c>
      <c r="H39" s="137">
        <v>9297368</v>
      </c>
      <c r="I39" s="137">
        <v>10405265.890000001</v>
      </c>
      <c r="J39" s="137">
        <v>9625043</v>
      </c>
      <c r="K39" s="137">
        <v>12108522</v>
      </c>
      <c r="L39" s="137">
        <v>13364459</v>
      </c>
      <c r="M39" s="137">
        <v>14332212</v>
      </c>
      <c r="N39" s="137">
        <v>13855957</v>
      </c>
      <c r="O39" s="137">
        <v>14868347</v>
      </c>
      <c r="P39" s="137">
        <v>15362285</v>
      </c>
      <c r="Q39" s="137">
        <v>15198679</v>
      </c>
      <c r="R39" s="137">
        <v>15130277.34</v>
      </c>
      <c r="S39" s="137">
        <v>15637434</v>
      </c>
      <c r="T39" s="137">
        <v>17097890.789999999</v>
      </c>
      <c r="U39" s="137">
        <v>18439330.890000001</v>
      </c>
      <c r="V39" s="137">
        <v>17359500.329999998</v>
      </c>
      <c r="W39" s="137">
        <v>18349053</v>
      </c>
      <c r="X39" s="707">
        <v>9193006.4199999999</v>
      </c>
      <c r="Y39" s="707">
        <v>17317928.100000001</v>
      </c>
      <c r="Z39" s="175">
        <f t="shared" ref="Z39:Z41" si="15">RATE(22,,C39,-Y39)</f>
        <v>3.3002836395824603E-2</v>
      </c>
      <c r="AA39" s="79"/>
      <c r="AB39" s="43"/>
      <c r="AD39" s="13"/>
    </row>
    <row r="40" spans="2:30" ht="15" customHeight="1" x14ac:dyDescent="0.25">
      <c r="B40" s="554" t="s">
        <v>91</v>
      </c>
      <c r="C40" s="22">
        <v>8677431</v>
      </c>
      <c r="D40" s="11">
        <v>8956165</v>
      </c>
      <c r="E40" s="137">
        <v>8989082</v>
      </c>
      <c r="F40" s="137">
        <v>8633850</v>
      </c>
      <c r="G40" s="137">
        <v>9393967</v>
      </c>
      <c r="H40" s="137">
        <v>9702253</v>
      </c>
      <c r="I40" s="137">
        <v>9528899.9800000004</v>
      </c>
      <c r="J40" s="137">
        <v>10255878</v>
      </c>
      <c r="K40" s="137">
        <v>11418765</v>
      </c>
      <c r="L40" s="137">
        <v>11315608</v>
      </c>
      <c r="M40" s="137">
        <v>13101223</v>
      </c>
      <c r="N40" s="137">
        <v>14724941</v>
      </c>
      <c r="O40" s="137">
        <v>14798198</v>
      </c>
      <c r="P40" s="137">
        <v>14770096</v>
      </c>
      <c r="Q40" s="137">
        <v>13674536</v>
      </c>
      <c r="R40" s="137">
        <v>14273811.83</v>
      </c>
      <c r="S40" s="137">
        <v>15429955</v>
      </c>
      <c r="T40" s="137">
        <v>16652141.050000001</v>
      </c>
      <c r="U40" s="137">
        <v>17553698.09</v>
      </c>
      <c r="V40" s="137">
        <v>16779269.289999999</v>
      </c>
      <c r="W40" s="137">
        <v>17646625</v>
      </c>
      <c r="X40" s="707">
        <v>11633198.01</v>
      </c>
      <c r="Y40" s="707">
        <v>17176319.099999998</v>
      </c>
      <c r="Z40" s="175">
        <f t="shared" si="15"/>
        <v>3.1523300154979228E-2</v>
      </c>
      <c r="AA40" s="79"/>
      <c r="AB40" s="43"/>
      <c r="AD40" s="13"/>
    </row>
    <row r="41" spans="2:30" ht="15" customHeight="1" x14ac:dyDescent="0.25">
      <c r="B41" s="555" t="s">
        <v>116</v>
      </c>
      <c r="C41" s="21">
        <f>SUM(C38:C40)</f>
        <v>26416728</v>
      </c>
      <c r="D41" s="17">
        <f>SUM(D38:D40)</f>
        <v>27587907</v>
      </c>
      <c r="E41" s="138">
        <f>SUM(E38:E40)</f>
        <v>27315422</v>
      </c>
      <c r="F41" s="138">
        <f>SUM(F38:F40)</f>
        <v>28025353</v>
      </c>
      <c r="G41" s="138">
        <f t="shared" ref="G41:Y41" si="16">+G38+G39+G40</f>
        <v>28994833</v>
      </c>
      <c r="H41" s="138">
        <f t="shared" si="16"/>
        <v>30102022</v>
      </c>
      <c r="I41" s="138">
        <f t="shared" si="16"/>
        <v>30175043.489999998</v>
      </c>
      <c r="J41" s="138">
        <f t="shared" si="16"/>
        <v>30182826</v>
      </c>
      <c r="K41" s="138">
        <f t="shared" si="16"/>
        <v>34646814</v>
      </c>
      <c r="L41" s="138">
        <f t="shared" si="16"/>
        <v>37962743</v>
      </c>
      <c r="M41" s="138">
        <f t="shared" si="16"/>
        <v>42588452</v>
      </c>
      <c r="N41" s="138">
        <f t="shared" si="16"/>
        <v>43208945</v>
      </c>
      <c r="O41" s="138">
        <f t="shared" si="16"/>
        <v>44888206</v>
      </c>
      <c r="P41" s="138">
        <f t="shared" si="16"/>
        <v>44541688</v>
      </c>
      <c r="Q41" s="138">
        <f t="shared" si="16"/>
        <v>43251770</v>
      </c>
      <c r="R41" s="138">
        <f t="shared" si="16"/>
        <v>45321394.589999996</v>
      </c>
      <c r="S41" s="138">
        <f t="shared" si="16"/>
        <v>47733212</v>
      </c>
      <c r="T41" s="138">
        <f t="shared" si="16"/>
        <v>52156540.620000005</v>
      </c>
      <c r="U41" s="138">
        <f t="shared" si="16"/>
        <v>54261599.900000006</v>
      </c>
      <c r="V41" s="138">
        <f t="shared" si="16"/>
        <v>51749631.649999999</v>
      </c>
      <c r="W41" s="138">
        <f t="shared" si="16"/>
        <v>55140568.879999995</v>
      </c>
      <c r="X41" s="17">
        <f t="shared" si="16"/>
        <v>28080345.259999998</v>
      </c>
      <c r="Y41" s="17">
        <f t="shared" si="16"/>
        <v>52255744.399999991</v>
      </c>
      <c r="Z41" s="687">
        <f t="shared" si="15"/>
        <v>3.1492648337068441E-2</v>
      </c>
      <c r="AA41" s="81"/>
      <c r="AB41" s="43"/>
      <c r="AD41" s="13"/>
    </row>
    <row r="42" spans="2:30" ht="15" customHeight="1" x14ac:dyDescent="0.25">
      <c r="B42" s="554"/>
      <c r="C42" s="22"/>
      <c r="D42" s="11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76"/>
      <c r="AA42" s="79"/>
      <c r="AB42" s="43"/>
      <c r="AD42" s="13"/>
    </row>
    <row r="43" spans="2:30" ht="15" customHeight="1" x14ac:dyDescent="0.25">
      <c r="B43" s="554" t="s">
        <v>93</v>
      </c>
      <c r="C43" s="22">
        <v>8910729</v>
      </c>
      <c r="D43" s="11">
        <v>9139793</v>
      </c>
      <c r="E43" s="137">
        <v>8521667</v>
      </c>
      <c r="F43" s="137">
        <v>9492628</v>
      </c>
      <c r="G43" s="137">
        <v>9783826</v>
      </c>
      <c r="H43" s="137">
        <v>10337537</v>
      </c>
      <c r="I43" s="137">
        <v>9998546.8000000007</v>
      </c>
      <c r="J43" s="137">
        <v>10138439</v>
      </c>
      <c r="K43" s="137">
        <v>11550429</v>
      </c>
      <c r="L43" s="137">
        <v>12657961</v>
      </c>
      <c r="M43" s="137">
        <v>14693393</v>
      </c>
      <c r="N43" s="137">
        <v>14423788</v>
      </c>
      <c r="O43" s="137">
        <v>15222941</v>
      </c>
      <c r="P43" s="137">
        <v>14919359</v>
      </c>
      <c r="Q43" s="137">
        <v>14787669</v>
      </c>
      <c r="R43" s="137">
        <v>15041639.359999999</v>
      </c>
      <c r="S43" s="137">
        <v>16196754</v>
      </c>
      <c r="T43" s="137">
        <v>17182677.199999999</v>
      </c>
      <c r="U43" s="137">
        <v>18017864.739999998</v>
      </c>
      <c r="V43" s="137">
        <v>17129694.07</v>
      </c>
      <c r="W43" s="137">
        <v>17803332</v>
      </c>
      <c r="X43" s="707">
        <v>12001273.210000001</v>
      </c>
      <c r="Y43" s="707">
        <v>17447230.599999998</v>
      </c>
      <c r="Z43" s="175">
        <f>RATE(22,,C43,-Y43)</f>
        <v>3.101323269336316E-2</v>
      </c>
      <c r="AA43" s="79"/>
      <c r="AB43" s="43"/>
      <c r="AD43" s="13"/>
    </row>
    <row r="44" spans="2:30" ht="15" customHeight="1" x14ac:dyDescent="0.25">
      <c r="B44" s="554" t="s">
        <v>94</v>
      </c>
      <c r="C44" s="22">
        <v>8910573</v>
      </c>
      <c r="D44" s="11">
        <v>9470643</v>
      </c>
      <c r="E44" s="137">
        <v>9347058</v>
      </c>
      <c r="F44" s="137">
        <v>9387846</v>
      </c>
      <c r="G44" s="137">
        <v>9568062</v>
      </c>
      <c r="H44" s="137">
        <v>9861296</v>
      </c>
      <c r="I44" s="137">
        <v>10302098.08</v>
      </c>
      <c r="J44" s="137">
        <v>10522377</v>
      </c>
      <c r="K44" s="137">
        <v>12181905</v>
      </c>
      <c r="L44" s="137">
        <v>12507691</v>
      </c>
      <c r="M44" s="137">
        <v>12824245</v>
      </c>
      <c r="N44" s="137">
        <v>14187281</v>
      </c>
      <c r="O44" s="137">
        <v>15257771</v>
      </c>
      <c r="P44" s="137">
        <v>15140706</v>
      </c>
      <c r="Q44" s="137">
        <v>14467512</v>
      </c>
      <c r="R44" s="137">
        <v>15216629.98</v>
      </c>
      <c r="S44" s="137">
        <v>16173963</v>
      </c>
      <c r="T44" s="137">
        <v>18525534.16</v>
      </c>
      <c r="U44" s="137">
        <v>18215235.359999999</v>
      </c>
      <c r="V44" s="137">
        <v>18148559.420000002</v>
      </c>
      <c r="W44" s="137">
        <v>19273458</v>
      </c>
      <c r="X44" s="707">
        <v>12030734.880000001</v>
      </c>
      <c r="Y44" s="707">
        <v>17226542.899999999</v>
      </c>
      <c r="Z44" s="175">
        <f t="shared" ref="Z44:Z46" si="17">RATE(22,,C44,-Y44)</f>
        <v>3.0417664809542378E-2</v>
      </c>
      <c r="AA44" s="79"/>
      <c r="AB44" s="43"/>
      <c r="AD44" s="13"/>
    </row>
    <row r="45" spans="2:30" ht="15" customHeight="1" x14ac:dyDescent="0.25">
      <c r="B45" s="554" t="s">
        <v>101</v>
      </c>
      <c r="C45" s="22">
        <v>8436335</v>
      </c>
      <c r="D45" s="11">
        <v>8928879</v>
      </c>
      <c r="E45" s="137">
        <v>8369689</v>
      </c>
      <c r="F45" s="137">
        <v>8981158</v>
      </c>
      <c r="G45" s="137">
        <v>9254512</v>
      </c>
      <c r="H45" s="137">
        <v>10057814</v>
      </c>
      <c r="I45" s="137">
        <v>9533166.9499999993</v>
      </c>
      <c r="J45" s="137">
        <v>10332553</v>
      </c>
      <c r="K45" s="137">
        <v>11722701</v>
      </c>
      <c r="L45" s="137">
        <v>13063916</v>
      </c>
      <c r="M45" s="137">
        <v>12777663</v>
      </c>
      <c r="N45" s="137">
        <v>14571913</v>
      </c>
      <c r="O45" s="137">
        <v>14927401</v>
      </c>
      <c r="P45" s="137">
        <v>13491002</v>
      </c>
      <c r="Q45" s="137">
        <v>13335527</v>
      </c>
      <c r="R45" s="137">
        <v>14364145.92</v>
      </c>
      <c r="S45" s="137">
        <v>16090321</v>
      </c>
      <c r="T45" s="137">
        <v>16714230.5</v>
      </c>
      <c r="U45" s="137">
        <v>18064302.199999999</v>
      </c>
      <c r="V45" s="137">
        <v>16786956.440000001</v>
      </c>
      <c r="W45" s="137">
        <v>17544487</v>
      </c>
      <c r="X45" s="707">
        <v>14282528.85</v>
      </c>
      <c r="Y45" s="707">
        <v>17711528.539999999</v>
      </c>
      <c r="Z45" s="175">
        <f t="shared" si="17"/>
        <v>3.428686720359287E-2</v>
      </c>
      <c r="AA45" s="79"/>
      <c r="AB45" s="43"/>
      <c r="AD45" s="13"/>
    </row>
    <row r="46" spans="2:30" ht="15" customHeight="1" x14ac:dyDescent="0.25">
      <c r="B46" s="555" t="s">
        <v>117</v>
      </c>
      <c r="C46" s="21">
        <f>SUM(C43:C45)</f>
        <v>26257637</v>
      </c>
      <c r="D46" s="17">
        <f>SUM(D43:D45)</f>
        <v>27539315</v>
      </c>
      <c r="E46" s="138">
        <f>SUM(E43:E45)</f>
        <v>26238414</v>
      </c>
      <c r="F46" s="138">
        <f>SUM(F43:F45)</f>
        <v>27861632</v>
      </c>
      <c r="G46" s="138">
        <f t="shared" ref="G46:Y46" si="18">+G43+G44+G45</f>
        <v>28606400</v>
      </c>
      <c r="H46" s="138">
        <f t="shared" si="18"/>
        <v>30256647</v>
      </c>
      <c r="I46" s="138">
        <f t="shared" si="18"/>
        <v>29833811.830000002</v>
      </c>
      <c r="J46" s="138">
        <f t="shared" si="18"/>
        <v>30993369</v>
      </c>
      <c r="K46" s="138">
        <f t="shared" si="18"/>
        <v>35455035</v>
      </c>
      <c r="L46" s="138">
        <f t="shared" si="18"/>
        <v>38229568</v>
      </c>
      <c r="M46" s="138">
        <f t="shared" si="18"/>
        <v>40295301</v>
      </c>
      <c r="N46" s="138">
        <f t="shared" si="18"/>
        <v>43182982</v>
      </c>
      <c r="O46" s="138">
        <f t="shared" si="18"/>
        <v>45408113</v>
      </c>
      <c r="P46" s="138">
        <f t="shared" si="18"/>
        <v>43551067</v>
      </c>
      <c r="Q46" s="138">
        <f t="shared" si="18"/>
        <v>42590708</v>
      </c>
      <c r="R46" s="138">
        <f t="shared" si="18"/>
        <v>44622415.259999998</v>
      </c>
      <c r="S46" s="138">
        <f t="shared" si="18"/>
        <v>48461038</v>
      </c>
      <c r="T46" s="138">
        <f t="shared" si="18"/>
        <v>52422441.859999999</v>
      </c>
      <c r="U46" s="138">
        <f t="shared" si="18"/>
        <v>54297402.299999997</v>
      </c>
      <c r="V46" s="138">
        <f t="shared" si="18"/>
        <v>52065209.930000007</v>
      </c>
      <c r="W46" s="138">
        <f t="shared" si="18"/>
        <v>54621277</v>
      </c>
      <c r="X46" s="17">
        <f t="shared" si="18"/>
        <v>38314536.940000005</v>
      </c>
      <c r="Y46" s="17">
        <f t="shared" si="18"/>
        <v>52385302.039999999</v>
      </c>
      <c r="Z46" s="687">
        <f t="shared" si="17"/>
        <v>3.1892044430317582E-2</v>
      </c>
      <c r="AA46" s="81"/>
      <c r="AD46" s="13"/>
    </row>
    <row r="47" spans="2:30" ht="15" customHeight="1" x14ac:dyDescent="0.25">
      <c r="B47" s="554"/>
      <c r="C47" s="22"/>
      <c r="D47" s="11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76"/>
      <c r="AA47" s="79"/>
      <c r="AD47" s="13"/>
    </row>
    <row r="48" spans="2:30" ht="15" customHeight="1" x14ac:dyDescent="0.25">
      <c r="B48" s="554" t="s">
        <v>95</v>
      </c>
      <c r="C48" s="22">
        <v>8557652</v>
      </c>
      <c r="D48" s="11">
        <v>8972766</v>
      </c>
      <c r="E48" s="137">
        <v>8770780</v>
      </c>
      <c r="F48" s="137">
        <v>9401182</v>
      </c>
      <c r="G48" s="137">
        <v>10364913</v>
      </c>
      <c r="H48" s="137">
        <v>9565691</v>
      </c>
      <c r="I48" s="137">
        <v>9280470.6899999995</v>
      </c>
      <c r="J48" s="137">
        <v>10567641</v>
      </c>
      <c r="K48" s="137">
        <v>13410665</v>
      </c>
      <c r="L48" s="137">
        <v>13561069</v>
      </c>
      <c r="M48" s="137">
        <v>14662354</v>
      </c>
      <c r="N48" s="137">
        <v>15059316</v>
      </c>
      <c r="O48" s="137">
        <v>15577426</v>
      </c>
      <c r="P48" s="137">
        <v>13547521</v>
      </c>
      <c r="Q48" s="137">
        <v>14250652</v>
      </c>
      <c r="R48" s="137">
        <v>15329742.92</v>
      </c>
      <c r="S48" s="137">
        <v>17816676</v>
      </c>
      <c r="T48" s="137">
        <v>17617074.870000001</v>
      </c>
      <c r="U48" s="137">
        <v>17417988.16</v>
      </c>
      <c r="V48" s="137">
        <v>17315592.82</v>
      </c>
      <c r="W48" s="137">
        <v>18161321</v>
      </c>
      <c r="X48" s="707">
        <v>15953339.140000001</v>
      </c>
      <c r="Y48" s="707">
        <v>17805107.780000001</v>
      </c>
      <c r="Z48" s="175">
        <f>RATE(22,,C48,-Y48)</f>
        <v>3.3863447824780922E-2</v>
      </c>
      <c r="AA48" s="79"/>
      <c r="AD48" s="13"/>
    </row>
    <row r="49" spans="2:30" ht="15" customHeight="1" x14ac:dyDescent="0.25">
      <c r="B49" s="554" t="s">
        <v>96</v>
      </c>
      <c r="C49" s="22">
        <v>8534184</v>
      </c>
      <c r="D49" s="11">
        <v>8763145</v>
      </c>
      <c r="E49" s="137">
        <v>9104563</v>
      </c>
      <c r="F49" s="137">
        <v>8990735</v>
      </c>
      <c r="G49" s="137">
        <v>9484035</v>
      </c>
      <c r="H49" s="137">
        <v>9311484</v>
      </c>
      <c r="I49" s="137">
        <v>9042016.2899999991</v>
      </c>
      <c r="J49" s="137">
        <v>9590180</v>
      </c>
      <c r="K49" s="137">
        <v>12012730</v>
      </c>
      <c r="L49" s="137">
        <v>12185801</v>
      </c>
      <c r="M49" s="137">
        <v>11289678</v>
      </c>
      <c r="N49" s="137">
        <v>13064006</v>
      </c>
      <c r="O49" s="137">
        <v>12710672</v>
      </c>
      <c r="P49" s="137">
        <v>14401099</v>
      </c>
      <c r="Q49" s="137">
        <v>14158432</v>
      </c>
      <c r="R49" s="137">
        <v>13675919.369999999</v>
      </c>
      <c r="S49" s="137">
        <v>14936727</v>
      </c>
      <c r="T49" s="137">
        <v>15816652.65</v>
      </c>
      <c r="U49" s="137">
        <v>16310650.789999999</v>
      </c>
      <c r="V49" s="137">
        <v>15885351.33</v>
      </c>
      <c r="W49" s="137">
        <v>17350751</v>
      </c>
      <c r="X49" s="707">
        <v>14690525.300000001</v>
      </c>
      <c r="Y49" s="707">
        <v>15778193.17</v>
      </c>
      <c r="Z49" s="175">
        <f t="shared" ref="Z49:Z51" si="19">RATE(22,,C49,-Y49)</f>
        <v>2.8327862197718687E-2</v>
      </c>
      <c r="AA49" s="79"/>
      <c r="AD49" s="13"/>
    </row>
    <row r="50" spans="2:30" ht="15" customHeight="1" x14ac:dyDescent="0.25">
      <c r="B50" s="554" t="s">
        <v>97</v>
      </c>
      <c r="C50" s="22">
        <v>8738125</v>
      </c>
      <c r="D50" s="11">
        <v>8721030</v>
      </c>
      <c r="E50" s="137">
        <v>8972309</v>
      </c>
      <c r="F50" s="137">
        <v>9560582</v>
      </c>
      <c r="G50" s="137">
        <v>9964006</v>
      </c>
      <c r="H50" s="137">
        <v>10887577</v>
      </c>
      <c r="I50" s="137">
        <v>11262402.140000001</v>
      </c>
      <c r="J50" s="137">
        <v>10739614</v>
      </c>
      <c r="K50" s="137">
        <v>11892096</v>
      </c>
      <c r="L50" s="137">
        <v>13014592</v>
      </c>
      <c r="M50" s="137">
        <v>14595629</v>
      </c>
      <c r="N50" s="137">
        <v>15721971</v>
      </c>
      <c r="O50" s="137">
        <v>15860358</v>
      </c>
      <c r="P50" s="137">
        <v>14852466</v>
      </c>
      <c r="Q50" s="137">
        <v>13765696</v>
      </c>
      <c r="R50" s="137">
        <v>15126439.02</v>
      </c>
      <c r="S50" s="137">
        <v>17541411</v>
      </c>
      <c r="T50" s="137">
        <v>18167745.539999999</v>
      </c>
      <c r="U50" s="137">
        <v>17942489.219999999</v>
      </c>
      <c r="V50" s="137">
        <v>17694171.850000001</v>
      </c>
      <c r="W50" s="137">
        <v>18215464.370000001</v>
      </c>
      <c r="X50" s="707">
        <v>16658578.949999999</v>
      </c>
      <c r="Y50" s="707">
        <v>19242671.620000001</v>
      </c>
      <c r="Z50" s="175">
        <f t="shared" si="19"/>
        <v>3.6534972748507831E-2</v>
      </c>
      <c r="AA50" s="79"/>
      <c r="AD50" s="13"/>
    </row>
    <row r="51" spans="2:30" ht="15" customHeight="1" x14ac:dyDescent="0.25">
      <c r="B51" s="555" t="s">
        <v>118</v>
      </c>
      <c r="C51" s="21">
        <f>SUM(C48:C50)</f>
        <v>25829961</v>
      </c>
      <c r="D51" s="17">
        <f>SUM(D48:D50)</f>
        <v>26456941</v>
      </c>
      <c r="E51" s="138">
        <f>SUM(E48:E50)</f>
        <v>26847652</v>
      </c>
      <c r="F51" s="138">
        <f>SUM(F48:F50)</f>
        <v>27952499</v>
      </c>
      <c r="G51" s="138">
        <f t="shared" ref="G51:Y51" si="20">+G48+G49+G50</f>
        <v>29812954</v>
      </c>
      <c r="H51" s="138">
        <f t="shared" si="20"/>
        <v>29764752</v>
      </c>
      <c r="I51" s="138">
        <f t="shared" si="20"/>
        <v>29584889.119999997</v>
      </c>
      <c r="J51" s="138">
        <f t="shared" si="20"/>
        <v>30897435</v>
      </c>
      <c r="K51" s="138">
        <f t="shared" si="20"/>
        <v>37315491</v>
      </c>
      <c r="L51" s="138">
        <f t="shared" si="20"/>
        <v>38761462</v>
      </c>
      <c r="M51" s="138">
        <f t="shared" si="20"/>
        <v>40547661</v>
      </c>
      <c r="N51" s="138">
        <f t="shared" si="20"/>
        <v>43845293</v>
      </c>
      <c r="O51" s="138">
        <f t="shared" si="20"/>
        <v>44148456</v>
      </c>
      <c r="P51" s="138">
        <f t="shared" si="20"/>
        <v>42801086</v>
      </c>
      <c r="Q51" s="138">
        <f t="shared" si="20"/>
        <v>42174780</v>
      </c>
      <c r="R51" s="138">
        <f t="shared" si="20"/>
        <v>44132101.310000002</v>
      </c>
      <c r="S51" s="138">
        <f t="shared" si="20"/>
        <v>50294814</v>
      </c>
      <c r="T51" s="138">
        <f t="shared" si="20"/>
        <v>51601473.060000002</v>
      </c>
      <c r="U51" s="138">
        <f t="shared" si="20"/>
        <v>51671128.170000002</v>
      </c>
      <c r="V51" s="138">
        <f t="shared" si="20"/>
        <v>50895116</v>
      </c>
      <c r="W51" s="138">
        <f t="shared" si="20"/>
        <v>53727536.370000005</v>
      </c>
      <c r="X51" s="17">
        <f t="shared" si="20"/>
        <v>47302443.390000001</v>
      </c>
      <c r="Y51" s="17">
        <f t="shared" si="20"/>
        <v>52825972.570000008</v>
      </c>
      <c r="Z51" s="687">
        <f t="shared" si="19"/>
        <v>3.3055863062812101E-2</v>
      </c>
      <c r="AA51" s="81"/>
      <c r="AD51" s="13"/>
    </row>
    <row r="52" spans="2:30" ht="15" customHeight="1" thickBot="1" x14ac:dyDescent="0.3">
      <c r="B52" s="596"/>
      <c r="C52" s="22"/>
      <c r="D52" s="11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76"/>
      <c r="AA52" s="79"/>
      <c r="AD52" s="13"/>
    </row>
    <row r="53" spans="2:30" ht="24.9" customHeight="1" thickBot="1" x14ac:dyDescent="0.3">
      <c r="B53" s="597" t="s">
        <v>119</v>
      </c>
      <c r="C53" s="26">
        <f t="shared" ref="C53:M53" si="21">+C36+C41+C46+C51</f>
        <v>104312551</v>
      </c>
      <c r="D53" s="73">
        <f t="shared" si="21"/>
        <v>109131675</v>
      </c>
      <c r="E53" s="146">
        <f t="shared" si="21"/>
        <v>107311836</v>
      </c>
      <c r="F53" s="146">
        <f t="shared" si="21"/>
        <v>111325087</v>
      </c>
      <c r="G53" s="146">
        <f t="shared" si="21"/>
        <v>114897372</v>
      </c>
      <c r="H53" s="146">
        <f t="shared" si="21"/>
        <v>120587604</v>
      </c>
      <c r="I53" s="146">
        <f t="shared" si="21"/>
        <v>120498177.72999999</v>
      </c>
      <c r="J53" s="146">
        <f t="shared" si="21"/>
        <v>122558360.37</v>
      </c>
      <c r="K53" s="146">
        <f t="shared" si="21"/>
        <v>142648061</v>
      </c>
      <c r="L53" s="146">
        <f t="shared" si="21"/>
        <v>152164482</v>
      </c>
      <c r="M53" s="146">
        <f t="shared" si="21"/>
        <v>166917159</v>
      </c>
      <c r="N53" s="146">
        <f t="shared" ref="N53:Y53" si="22">+N36+N41+N46+N51</f>
        <v>173436438</v>
      </c>
      <c r="O53" s="146">
        <f t="shared" si="22"/>
        <v>179588944</v>
      </c>
      <c r="P53" s="146">
        <f t="shared" si="22"/>
        <v>176922525</v>
      </c>
      <c r="Q53" s="146">
        <f t="shared" si="22"/>
        <v>171213065</v>
      </c>
      <c r="R53" s="146">
        <f t="shared" si="22"/>
        <v>178575010.54999998</v>
      </c>
      <c r="S53" s="146">
        <f t="shared" si="22"/>
        <v>193423329</v>
      </c>
      <c r="T53" s="146">
        <f t="shared" si="22"/>
        <v>207351463.97000003</v>
      </c>
      <c r="U53" s="146">
        <f t="shared" si="22"/>
        <v>213739613.63999999</v>
      </c>
      <c r="V53" s="146">
        <f t="shared" si="22"/>
        <v>207339362.42000002</v>
      </c>
      <c r="W53" s="146">
        <f t="shared" si="22"/>
        <v>219254868.25</v>
      </c>
      <c r="X53" s="146">
        <f t="shared" si="22"/>
        <v>162745278.37</v>
      </c>
      <c r="Y53" s="146">
        <f t="shared" si="22"/>
        <v>205119832.14999998</v>
      </c>
      <c r="Z53" s="762">
        <f>RATE(22,,C53,-Y53)</f>
        <v>3.121372756407147E-2</v>
      </c>
      <c r="AA53" s="81"/>
      <c r="AD53" s="13"/>
    </row>
    <row r="54" spans="2:30" ht="15" customHeight="1" thickBot="1" x14ac:dyDescent="0.3"/>
    <row r="55" spans="2:30" ht="15" customHeight="1" x14ac:dyDescent="0.25">
      <c r="B55" s="922" t="s">
        <v>100</v>
      </c>
      <c r="C55" s="922" t="s">
        <v>143</v>
      </c>
      <c r="D55" s="933"/>
      <c r="E55" s="933"/>
      <c r="F55" s="933"/>
      <c r="G55" s="933"/>
      <c r="H55" s="933"/>
      <c r="I55" s="933"/>
      <c r="J55" s="933"/>
      <c r="K55" s="933"/>
      <c r="L55" s="933"/>
      <c r="M55" s="933"/>
      <c r="N55" s="933"/>
      <c r="O55" s="933"/>
      <c r="P55" s="933"/>
      <c r="Q55" s="933"/>
      <c r="R55" s="933"/>
      <c r="S55" s="933"/>
      <c r="T55" s="933"/>
      <c r="U55" s="933"/>
      <c r="V55" s="933"/>
      <c r="W55" s="933"/>
      <c r="X55" s="933"/>
      <c r="Y55" s="933"/>
      <c r="Z55" s="934"/>
      <c r="AA55" s="298"/>
      <c r="AB55" s="35"/>
      <c r="AC55" s="35"/>
      <c r="AD55" s="35"/>
    </row>
    <row r="56" spans="2:30" ht="45" customHeight="1" thickBot="1" x14ac:dyDescent="0.3">
      <c r="B56" s="923"/>
      <c r="C56" s="590">
        <v>1999</v>
      </c>
      <c r="D56" s="588">
        <v>2000</v>
      </c>
      <c r="E56" s="588">
        <v>2001</v>
      </c>
      <c r="F56" s="588">
        <v>2002</v>
      </c>
      <c r="G56" s="588">
        <v>2003</v>
      </c>
      <c r="H56" s="588">
        <v>2004</v>
      </c>
      <c r="I56" s="588">
        <v>2005</v>
      </c>
      <c r="J56" s="588">
        <v>2006</v>
      </c>
      <c r="K56" s="586">
        <v>2007</v>
      </c>
      <c r="L56" s="588">
        <v>2008</v>
      </c>
      <c r="M56" s="589">
        <v>2009</v>
      </c>
      <c r="N56" s="589">
        <v>2010</v>
      </c>
      <c r="O56" s="589">
        <v>2011</v>
      </c>
      <c r="P56" s="589">
        <v>2012</v>
      </c>
      <c r="Q56" s="589">
        <v>2013</v>
      </c>
      <c r="R56" s="589">
        <v>2014</v>
      </c>
      <c r="S56" s="589">
        <v>2015</v>
      </c>
      <c r="T56" s="738">
        <v>2016</v>
      </c>
      <c r="U56" s="756">
        <v>2017</v>
      </c>
      <c r="V56" s="769">
        <v>2018</v>
      </c>
      <c r="W56" s="788">
        <v>2019</v>
      </c>
      <c r="X56" s="805">
        <v>2020</v>
      </c>
      <c r="Y56" s="825">
        <v>2021</v>
      </c>
      <c r="Z56" s="598" t="s">
        <v>308</v>
      </c>
      <c r="AA56" s="31"/>
      <c r="AB56" s="31"/>
      <c r="AC56" s="31"/>
      <c r="AD56" s="52"/>
    </row>
    <row r="57" spans="2:30" ht="15" customHeight="1" x14ac:dyDescent="0.25">
      <c r="B57" s="558"/>
      <c r="C57" s="25"/>
      <c r="D57" s="1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74"/>
      <c r="AA57" s="79"/>
      <c r="AB57" s="79"/>
      <c r="AC57" s="79"/>
      <c r="AD57" s="177"/>
    </row>
    <row r="58" spans="2:30" ht="15" customHeight="1" x14ac:dyDescent="0.25">
      <c r="B58" s="554" t="s">
        <v>86</v>
      </c>
      <c r="C58" s="22">
        <v>111890</v>
      </c>
      <c r="D58" s="11">
        <v>88175</v>
      </c>
      <c r="E58" s="137">
        <v>79081</v>
      </c>
      <c r="F58" s="137">
        <v>76197</v>
      </c>
      <c r="G58" s="137">
        <v>63948</v>
      </c>
      <c r="H58" s="137">
        <v>51231</v>
      </c>
      <c r="I58" s="137">
        <v>97352</v>
      </c>
      <c r="J58" s="137">
        <f>27094+3084+736</f>
        <v>30914</v>
      </c>
      <c r="K58" s="137">
        <f>29323+4815+387</f>
        <v>34525</v>
      </c>
      <c r="L58" s="137">
        <v>25872</v>
      </c>
      <c r="M58" s="137">
        <v>14127</v>
      </c>
      <c r="N58" s="137">
        <v>18812</v>
      </c>
      <c r="O58" s="137">
        <v>16241</v>
      </c>
      <c r="P58" s="137">
        <v>22385</v>
      </c>
      <c r="Q58" s="137">
        <v>19057</v>
      </c>
      <c r="R58" s="686">
        <v>29349.24</v>
      </c>
      <c r="S58" s="721">
        <v>25824</v>
      </c>
      <c r="T58" s="721">
        <v>14430.88</v>
      </c>
      <c r="U58" s="721">
        <v>14862.01</v>
      </c>
      <c r="V58" s="721">
        <v>2530.6999999999998</v>
      </c>
      <c r="W58" s="721">
        <v>13715.5</v>
      </c>
      <c r="X58" s="707">
        <v>12738.27</v>
      </c>
      <c r="Y58" s="707">
        <v>16417.34</v>
      </c>
      <c r="Z58" s="175">
        <f>RATE(22,,C58,-Y58)</f>
        <v>-8.3538637785304765E-2</v>
      </c>
      <c r="AA58" s="79"/>
      <c r="AB58" s="79"/>
      <c r="AC58" s="79"/>
      <c r="AD58" s="177"/>
    </row>
    <row r="59" spans="2:30" ht="15" customHeight="1" x14ac:dyDescent="0.25">
      <c r="B59" s="554" t="s">
        <v>87</v>
      </c>
      <c r="C59" s="22">
        <v>103783</v>
      </c>
      <c r="D59" s="11">
        <v>102555</v>
      </c>
      <c r="E59" s="137">
        <v>56113</v>
      </c>
      <c r="F59" s="137">
        <v>68160</v>
      </c>
      <c r="G59" s="137">
        <v>65422</v>
      </c>
      <c r="H59" s="137">
        <v>41585</v>
      </c>
      <c r="I59" s="137">
        <v>55791</v>
      </c>
      <c r="J59" s="137">
        <f>23402+2878+872</f>
        <v>27152</v>
      </c>
      <c r="K59" s="137">
        <f>27230+2295+452</f>
        <v>29977</v>
      </c>
      <c r="L59" s="137">
        <v>22409</v>
      </c>
      <c r="M59" s="137">
        <v>16324</v>
      </c>
      <c r="N59" s="137">
        <v>17562</v>
      </c>
      <c r="O59" s="137">
        <v>19736</v>
      </c>
      <c r="P59" s="137">
        <v>16135</v>
      </c>
      <c r="Q59" s="137">
        <v>17177</v>
      </c>
      <c r="R59" s="686">
        <v>28175.7</v>
      </c>
      <c r="S59" s="721">
        <v>18864</v>
      </c>
      <c r="T59" s="721">
        <v>8936.9599999999991</v>
      </c>
      <c r="U59" s="721">
        <v>11018.59</v>
      </c>
      <c r="V59" s="721">
        <v>10791.18</v>
      </c>
      <c r="W59" s="721">
        <v>12212.5</v>
      </c>
      <c r="X59" s="707">
        <v>11662.8</v>
      </c>
      <c r="Y59" s="707">
        <v>16060.99</v>
      </c>
      <c r="Z59" s="175">
        <f t="shared" ref="Z59:Z61" si="23">RATE(22,,C59,-Y59)</f>
        <v>-8.1316891099149996E-2</v>
      </c>
      <c r="AA59" s="79"/>
      <c r="AB59" s="79"/>
      <c r="AC59" s="79"/>
      <c r="AD59" s="177"/>
    </row>
    <row r="60" spans="2:30" ht="15" customHeight="1" x14ac:dyDescent="0.25">
      <c r="B60" s="554" t="s">
        <v>88</v>
      </c>
      <c r="C60" s="22">
        <v>112970</v>
      </c>
      <c r="D60" s="11">
        <v>91147</v>
      </c>
      <c r="E60" s="137">
        <v>72900</v>
      </c>
      <c r="F60" s="137">
        <v>68521</v>
      </c>
      <c r="G60" s="137">
        <v>59707</v>
      </c>
      <c r="H60" s="137">
        <v>51537</v>
      </c>
      <c r="I60" s="137">
        <v>61632</v>
      </c>
      <c r="J60" s="137">
        <f>27131+3177+832</f>
        <v>31140</v>
      </c>
      <c r="K60" s="137">
        <f>31590+6417+249</f>
        <v>38256</v>
      </c>
      <c r="L60" s="137">
        <v>21711</v>
      </c>
      <c r="M60" s="137">
        <v>17561</v>
      </c>
      <c r="N60" s="137">
        <v>22593</v>
      </c>
      <c r="O60" s="137">
        <v>17290</v>
      </c>
      <c r="P60" s="137">
        <v>17973</v>
      </c>
      <c r="Q60" s="137">
        <v>24288</v>
      </c>
      <c r="R60" s="686">
        <v>24983.54</v>
      </c>
      <c r="S60" s="721">
        <v>21080</v>
      </c>
      <c r="T60" s="721">
        <v>9962.74</v>
      </c>
      <c r="U60" s="721">
        <v>12816.19</v>
      </c>
      <c r="V60" s="721">
        <v>15550.68</v>
      </c>
      <c r="W60" s="721">
        <v>12497.5</v>
      </c>
      <c r="X60" s="707">
        <v>9561.5499999999993</v>
      </c>
      <c r="Y60" s="707">
        <v>19208.490000000002</v>
      </c>
      <c r="Z60" s="175">
        <f t="shared" si="23"/>
        <v>-7.7377385750790548E-2</v>
      </c>
      <c r="AA60" s="79"/>
      <c r="AB60" s="79"/>
      <c r="AC60" s="79"/>
      <c r="AD60" s="177"/>
    </row>
    <row r="61" spans="2:30" ht="15" customHeight="1" x14ac:dyDescent="0.25">
      <c r="B61" s="555" t="s">
        <v>115</v>
      </c>
      <c r="C61" s="21">
        <f t="shared" ref="C61:T61" si="24">SUM(C58:C60)</f>
        <v>328643</v>
      </c>
      <c r="D61" s="17">
        <f t="shared" si="24"/>
        <v>281877</v>
      </c>
      <c r="E61" s="138">
        <f t="shared" si="24"/>
        <v>208094</v>
      </c>
      <c r="F61" s="138">
        <f t="shared" si="24"/>
        <v>212878</v>
      </c>
      <c r="G61" s="138">
        <f t="shared" si="24"/>
        <v>189077</v>
      </c>
      <c r="H61" s="138">
        <f t="shared" si="24"/>
        <v>144353</v>
      </c>
      <c r="I61" s="138">
        <f t="shared" si="24"/>
        <v>214775</v>
      </c>
      <c r="J61" s="138">
        <f t="shared" si="24"/>
        <v>89206</v>
      </c>
      <c r="K61" s="138">
        <f t="shared" si="24"/>
        <v>102758</v>
      </c>
      <c r="L61" s="138">
        <f t="shared" si="24"/>
        <v>69992</v>
      </c>
      <c r="M61" s="138">
        <f t="shared" si="24"/>
        <v>48012</v>
      </c>
      <c r="N61" s="138">
        <f t="shared" si="24"/>
        <v>58967</v>
      </c>
      <c r="O61" s="138">
        <f t="shared" si="24"/>
        <v>53267</v>
      </c>
      <c r="P61" s="138">
        <f t="shared" si="24"/>
        <v>56493</v>
      </c>
      <c r="Q61" s="138">
        <f t="shared" si="24"/>
        <v>60522</v>
      </c>
      <c r="R61" s="17">
        <f t="shared" si="24"/>
        <v>82508.48000000001</v>
      </c>
      <c r="S61" s="17">
        <f t="shared" si="24"/>
        <v>65768</v>
      </c>
      <c r="T61" s="17">
        <f t="shared" si="24"/>
        <v>33330.579999999994</v>
      </c>
      <c r="U61" s="17">
        <f>SUM(U58:U60)</f>
        <v>38696.79</v>
      </c>
      <c r="V61" s="17">
        <f>SUM(V58:V60)</f>
        <v>28872.560000000001</v>
      </c>
      <c r="W61" s="17">
        <f>SUM(W58:W60)</f>
        <v>38425.5</v>
      </c>
      <c r="X61" s="17">
        <f t="shared" ref="X61:Y61" si="25">+X58+X59+X60</f>
        <v>33962.619999999995</v>
      </c>
      <c r="Y61" s="17">
        <f t="shared" si="25"/>
        <v>51686.820000000007</v>
      </c>
      <c r="Z61" s="687">
        <f t="shared" si="23"/>
        <v>-8.0642681531415794E-2</v>
      </c>
      <c r="AA61" s="81"/>
      <c r="AB61" s="81"/>
      <c r="AC61" s="81"/>
      <c r="AD61" s="151"/>
    </row>
    <row r="62" spans="2:30" ht="15" customHeight="1" x14ac:dyDescent="0.25">
      <c r="B62" s="554"/>
      <c r="C62" s="22"/>
      <c r="D62" s="11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1"/>
      <c r="S62" s="137"/>
      <c r="T62" s="137"/>
      <c r="U62" s="137"/>
      <c r="V62" s="137"/>
      <c r="W62" s="137"/>
      <c r="X62" s="137"/>
      <c r="Y62" s="137"/>
      <c r="Z62" s="176"/>
      <c r="AA62" s="79"/>
      <c r="AB62" s="79"/>
      <c r="AC62" s="79"/>
      <c r="AD62" s="177"/>
    </row>
    <row r="63" spans="2:30" ht="15" customHeight="1" x14ac:dyDescent="0.25">
      <c r="B63" s="554" t="s">
        <v>89</v>
      </c>
      <c r="C63" s="22">
        <v>99513</v>
      </c>
      <c r="D63" s="11">
        <v>73542</v>
      </c>
      <c r="E63" s="137">
        <v>71205</v>
      </c>
      <c r="F63" s="137">
        <v>77207</v>
      </c>
      <c r="G63" s="137">
        <v>65077</v>
      </c>
      <c r="H63" s="137">
        <v>49432</v>
      </c>
      <c r="I63" s="137">
        <v>69107.600000000006</v>
      </c>
      <c r="J63" s="137">
        <f>25451+3151+782</f>
        <v>29384</v>
      </c>
      <c r="K63" s="137">
        <f>28994+4442+245</f>
        <v>33681</v>
      </c>
      <c r="L63" s="137">
        <v>25038</v>
      </c>
      <c r="M63" s="137">
        <v>19115</v>
      </c>
      <c r="N63" s="137">
        <v>18112</v>
      </c>
      <c r="O63" s="137">
        <v>16213</v>
      </c>
      <c r="P63" s="137">
        <v>18267</v>
      </c>
      <c r="Q63" s="137">
        <v>25841</v>
      </c>
      <c r="R63" s="686">
        <v>25778.14</v>
      </c>
      <c r="S63" s="721">
        <v>24708</v>
      </c>
      <c r="T63" s="721">
        <v>17075.650000000001</v>
      </c>
      <c r="U63" s="721">
        <v>10468.82</v>
      </c>
      <c r="V63" s="721">
        <v>11764.24</v>
      </c>
      <c r="W63" s="721">
        <v>13686</v>
      </c>
      <c r="X63" s="707">
        <v>9814.75</v>
      </c>
      <c r="Y63" s="707">
        <v>15686.29</v>
      </c>
      <c r="Z63" s="175">
        <f>RATE(22,,C63,-Y63)</f>
        <v>-8.0547897924147557E-2</v>
      </c>
      <c r="AA63" s="79"/>
      <c r="AB63" s="79"/>
      <c r="AC63" s="79"/>
      <c r="AD63" s="177"/>
    </row>
    <row r="64" spans="2:30" ht="15" customHeight="1" x14ac:dyDescent="0.25">
      <c r="B64" s="554" t="s">
        <v>90</v>
      </c>
      <c r="C64" s="22">
        <v>103283</v>
      </c>
      <c r="D64" s="11">
        <v>78177</v>
      </c>
      <c r="E64" s="137">
        <v>66022</v>
      </c>
      <c r="F64" s="137">
        <v>73007</v>
      </c>
      <c r="G64" s="137">
        <v>61468</v>
      </c>
      <c r="H64" s="137">
        <v>36695</v>
      </c>
      <c r="I64" s="137">
        <v>71278.2</v>
      </c>
      <c r="J64" s="137">
        <f>26908+1965+625</f>
        <v>29498</v>
      </c>
      <c r="K64" s="137">
        <f>32289+2985+301</f>
        <v>35575</v>
      </c>
      <c r="L64" s="137">
        <v>20126</v>
      </c>
      <c r="M64" s="137">
        <v>20980</v>
      </c>
      <c r="N64" s="137">
        <v>22040</v>
      </c>
      <c r="O64" s="137">
        <v>17645</v>
      </c>
      <c r="P64" s="137">
        <v>20436</v>
      </c>
      <c r="Q64" s="137">
        <v>34494</v>
      </c>
      <c r="R64" s="686">
        <v>13822.36</v>
      </c>
      <c r="S64" s="721">
        <v>16193</v>
      </c>
      <c r="T64" s="721">
        <v>12921.32</v>
      </c>
      <c r="U64" s="721">
        <v>12972.19</v>
      </c>
      <c r="V64" s="721">
        <v>14407.46</v>
      </c>
      <c r="W64" s="721">
        <v>14734.5</v>
      </c>
      <c r="X64" s="707">
        <v>18946.53</v>
      </c>
      <c r="Y64" s="707">
        <v>20266.97</v>
      </c>
      <c r="Z64" s="175">
        <f t="shared" ref="Z64:Z66" si="26">RATE(22,,C64,-Y64)</f>
        <v>-7.1348581629361835E-2</v>
      </c>
      <c r="AA64" s="79"/>
      <c r="AB64" s="79"/>
      <c r="AC64" s="79"/>
      <c r="AD64" s="177"/>
    </row>
    <row r="65" spans="2:30" ht="15" customHeight="1" x14ac:dyDescent="0.25">
      <c r="B65" s="554" t="s">
        <v>91</v>
      </c>
      <c r="C65" s="22">
        <v>100557</v>
      </c>
      <c r="D65" s="11">
        <v>74736</v>
      </c>
      <c r="E65" s="137">
        <v>70417</v>
      </c>
      <c r="F65" s="137">
        <v>61264</v>
      </c>
      <c r="G65" s="137">
        <v>60447</v>
      </c>
      <c r="H65" s="137">
        <v>41936</v>
      </c>
      <c r="I65" s="137">
        <v>87303.1</v>
      </c>
      <c r="J65" s="137">
        <f>26684+2666+290</f>
        <v>29640</v>
      </c>
      <c r="K65" s="137">
        <f>26096+1022+226</f>
        <v>27344</v>
      </c>
      <c r="L65" s="137">
        <v>18460</v>
      </c>
      <c r="M65" s="137">
        <v>18523</v>
      </c>
      <c r="N65" s="137">
        <v>34075</v>
      </c>
      <c r="O65" s="137">
        <v>17842</v>
      </c>
      <c r="P65" s="137">
        <v>18135</v>
      </c>
      <c r="Q65" s="137">
        <v>26505</v>
      </c>
      <c r="R65" s="686">
        <v>19000.259999999998</v>
      </c>
      <c r="S65" s="721">
        <v>22979</v>
      </c>
      <c r="T65" s="721">
        <v>12351.82</v>
      </c>
      <c r="U65" s="721">
        <v>12511.19</v>
      </c>
      <c r="V65" s="721">
        <v>8397.4</v>
      </c>
      <c r="W65" s="721">
        <v>11672.5</v>
      </c>
      <c r="X65" s="707">
        <v>15800.46</v>
      </c>
      <c r="Y65" s="707">
        <v>19506.47</v>
      </c>
      <c r="Z65" s="175">
        <f t="shared" si="26"/>
        <v>-7.1833810235330947E-2</v>
      </c>
      <c r="AA65" s="79"/>
      <c r="AB65" s="79"/>
      <c r="AC65" s="79"/>
      <c r="AD65" s="177"/>
    </row>
    <row r="66" spans="2:30" ht="15" customHeight="1" x14ac:dyDescent="0.25">
      <c r="B66" s="555" t="s">
        <v>116</v>
      </c>
      <c r="C66" s="21">
        <f t="shared" ref="C66:W66" si="27">SUM(C63:C65)</f>
        <v>303353</v>
      </c>
      <c r="D66" s="17">
        <f t="shared" si="27"/>
        <v>226455</v>
      </c>
      <c r="E66" s="138">
        <f t="shared" si="27"/>
        <v>207644</v>
      </c>
      <c r="F66" s="138">
        <f t="shared" si="27"/>
        <v>211478</v>
      </c>
      <c r="G66" s="138">
        <f t="shared" si="27"/>
        <v>186992</v>
      </c>
      <c r="H66" s="138">
        <f t="shared" si="27"/>
        <v>128063</v>
      </c>
      <c r="I66" s="138">
        <f t="shared" si="27"/>
        <v>227688.9</v>
      </c>
      <c r="J66" s="138">
        <f t="shared" si="27"/>
        <v>88522</v>
      </c>
      <c r="K66" s="138">
        <f t="shared" si="27"/>
        <v>96600</v>
      </c>
      <c r="L66" s="138">
        <f t="shared" si="27"/>
        <v>63624</v>
      </c>
      <c r="M66" s="138">
        <f t="shared" si="27"/>
        <v>58618</v>
      </c>
      <c r="N66" s="138">
        <f t="shared" si="27"/>
        <v>74227</v>
      </c>
      <c r="O66" s="138">
        <f t="shared" si="27"/>
        <v>51700</v>
      </c>
      <c r="P66" s="138">
        <f t="shared" si="27"/>
        <v>56838</v>
      </c>
      <c r="Q66" s="138">
        <f t="shared" si="27"/>
        <v>86840</v>
      </c>
      <c r="R66" s="17">
        <f t="shared" si="27"/>
        <v>58600.759999999995</v>
      </c>
      <c r="S66" s="17">
        <f t="shared" si="27"/>
        <v>63880</v>
      </c>
      <c r="T66" s="17">
        <f t="shared" si="27"/>
        <v>42348.79</v>
      </c>
      <c r="U66" s="17">
        <f t="shared" si="27"/>
        <v>35952.200000000004</v>
      </c>
      <c r="V66" s="17">
        <f t="shared" si="27"/>
        <v>34569.1</v>
      </c>
      <c r="W66" s="17">
        <f t="shared" si="27"/>
        <v>40093</v>
      </c>
      <c r="X66" s="17">
        <f t="shared" ref="X66:Y66" si="28">+X63+X64+X65</f>
        <v>44561.74</v>
      </c>
      <c r="Y66" s="17">
        <f t="shared" si="28"/>
        <v>55459.73</v>
      </c>
      <c r="Z66" s="687">
        <f t="shared" si="26"/>
        <v>-7.4330649087464257E-2</v>
      </c>
      <c r="AA66" s="81"/>
      <c r="AB66" s="81"/>
      <c r="AC66" s="81"/>
      <c r="AD66" s="151"/>
    </row>
    <row r="67" spans="2:30" ht="15" customHeight="1" x14ac:dyDescent="0.25">
      <c r="B67" s="554"/>
      <c r="C67" s="22"/>
      <c r="D67" s="11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1"/>
      <c r="S67" s="137"/>
      <c r="T67" s="137"/>
      <c r="U67" s="137"/>
      <c r="V67" s="137"/>
      <c r="W67" s="137"/>
      <c r="X67" s="137"/>
      <c r="Y67" s="137"/>
      <c r="Z67" s="176"/>
      <c r="AA67" s="79"/>
      <c r="AB67" s="79"/>
      <c r="AC67" s="79"/>
      <c r="AD67" s="177"/>
    </row>
    <row r="68" spans="2:30" ht="15" customHeight="1" x14ac:dyDescent="0.25">
      <c r="B68" s="554" t="s">
        <v>93</v>
      </c>
      <c r="C68" s="22">
        <v>114345</v>
      </c>
      <c r="D68" s="11">
        <v>67663</v>
      </c>
      <c r="E68" s="137">
        <v>61629</v>
      </c>
      <c r="F68" s="137">
        <v>69025</v>
      </c>
      <c r="G68" s="137">
        <v>66164</v>
      </c>
      <c r="H68" s="137">
        <v>31646</v>
      </c>
      <c r="I68" s="137">
        <v>64096.7</v>
      </c>
      <c r="J68" s="137">
        <f>23020+2590+1517</f>
        <v>27127</v>
      </c>
      <c r="K68" s="137">
        <f>29507+1195+236</f>
        <v>30938</v>
      </c>
      <c r="L68" s="137">
        <v>29698</v>
      </c>
      <c r="M68" s="137">
        <v>21079</v>
      </c>
      <c r="N68" s="137">
        <v>11518</v>
      </c>
      <c r="O68" s="137">
        <v>13583</v>
      </c>
      <c r="P68" s="137">
        <v>16349</v>
      </c>
      <c r="Q68" s="137">
        <v>31498</v>
      </c>
      <c r="R68" s="686">
        <v>10316.64</v>
      </c>
      <c r="S68" s="721">
        <v>20105</v>
      </c>
      <c r="T68" s="721">
        <v>11882.69</v>
      </c>
      <c r="U68" s="721">
        <v>11158.820000000002</v>
      </c>
      <c r="V68" s="721">
        <v>13695.71</v>
      </c>
      <c r="W68" s="721">
        <v>13867.5</v>
      </c>
      <c r="X68" s="707">
        <v>13346.47</v>
      </c>
      <c r="Y68" s="707">
        <v>16695.05</v>
      </c>
      <c r="Z68" s="175">
        <f>RATE(22,,C68,-Y68)</f>
        <v>-8.3743975995471134E-2</v>
      </c>
      <c r="AA68" s="79"/>
      <c r="AB68" s="79"/>
      <c r="AC68" s="79"/>
      <c r="AD68" s="177"/>
    </row>
    <row r="69" spans="2:30" ht="15" customHeight="1" x14ac:dyDescent="0.25">
      <c r="B69" s="554" t="s">
        <v>94</v>
      </c>
      <c r="C69" s="22">
        <v>100282</v>
      </c>
      <c r="D69" s="11">
        <v>69507</v>
      </c>
      <c r="E69" s="137">
        <v>79900</v>
      </c>
      <c r="F69" s="137">
        <v>71253</v>
      </c>
      <c r="G69" s="137">
        <v>62895</v>
      </c>
      <c r="H69" s="137">
        <v>90041</v>
      </c>
      <c r="I69" s="137">
        <v>66969.2</v>
      </c>
      <c r="J69" s="137">
        <f>29863+2573+1841</f>
        <v>34277</v>
      </c>
      <c r="K69" s="137">
        <f>23315+1286+424</f>
        <v>25025</v>
      </c>
      <c r="L69" s="137">
        <v>13297</v>
      </c>
      <c r="M69" s="137">
        <v>17883</v>
      </c>
      <c r="N69" s="137">
        <v>17177</v>
      </c>
      <c r="O69" s="137">
        <v>18698</v>
      </c>
      <c r="P69" s="137">
        <v>17347</v>
      </c>
      <c r="Q69" s="137">
        <v>28188</v>
      </c>
      <c r="R69" s="686">
        <v>20000.740000000002</v>
      </c>
      <c r="S69" s="721">
        <v>21469</v>
      </c>
      <c r="T69" s="721">
        <v>11957.56</v>
      </c>
      <c r="U69" s="721">
        <v>10817.27</v>
      </c>
      <c r="V69" s="721">
        <v>14406.1</v>
      </c>
      <c r="W69" s="721">
        <v>13518</v>
      </c>
      <c r="X69" s="707">
        <v>79420.97</v>
      </c>
      <c r="Y69" s="707">
        <v>22059.59</v>
      </c>
      <c r="Z69" s="175">
        <f t="shared" ref="Z69:Z71" si="29">RATE(22,,C69,-Y69)</f>
        <v>-6.6513740902704774E-2</v>
      </c>
      <c r="AA69" s="79"/>
      <c r="AB69" s="79" t="s">
        <v>283</v>
      </c>
      <c r="AC69" s="79"/>
      <c r="AD69" s="177"/>
    </row>
    <row r="70" spans="2:30" ht="15" customHeight="1" x14ac:dyDescent="0.25">
      <c r="B70" s="554" t="s">
        <v>101</v>
      </c>
      <c r="C70" s="22">
        <v>103123</v>
      </c>
      <c r="D70" s="11">
        <v>58277</v>
      </c>
      <c r="E70" s="137">
        <v>55065</v>
      </c>
      <c r="F70" s="137">
        <v>57713</v>
      </c>
      <c r="G70" s="137">
        <v>54786</v>
      </c>
      <c r="H70" s="137">
        <v>37828</v>
      </c>
      <c r="I70" s="137">
        <v>76454.100000000006</v>
      </c>
      <c r="J70" s="137">
        <f>25416+2300+1686</f>
        <v>29402</v>
      </c>
      <c r="K70" s="137">
        <f>19202+1008+133</f>
        <v>20343</v>
      </c>
      <c r="L70" s="137">
        <v>13900</v>
      </c>
      <c r="M70" s="137">
        <v>16854</v>
      </c>
      <c r="N70" s="137">
        <v>15800</v>
      </c>
      <c r="O70" s="137">
        <v>19040</v>
      </c>
      <c r="P70" s="137">
        <v>15946</v>
      </c>
      <c r="Q70" s="137">
        <v>27796</v>
      </c>
      <c r="R70" s="686">
        <v>24338.02</v>
      </c>
      <c r="S70" s="721">
        <v>20564</v>
      </c>
      <c r="T70" s="721">
        <v>10611.9</v>
      </c>
      <c r="U70" s="721">
        <v>11158.4</v>
      </c>
      <c r="V70" s="721">
        <v>10700.73</v>
      </c>
      <c r="W70" s="721">
        <v>11983</v>
      </c>
      <c r="X70" s="707">
        <v>17755.73</v>
      </c>
      <c r="Y70" s="707">
        <v>15293.43</v>
      </c>
      <c r="Z70" s="175">
        <f t="shared" si="29"/>
        <v>-8.3093670023096075E-2</v>
      </c>
      <c r="AA70" s="79"/>
      <c r="AB70" s="79"/>
      <c r="AC70" s="79"/>
      <c r="AD70" s="177"/>
    </row>
    <row r="71" spans="2:30" ht="15" customHeight="1" x14ac:dyDescent="0.25">
      <c r="B71" s="555" t="s">
        <v>117</v>
      </c>
      <c r="C71" s="21">
        <f t="shared" ref="C71:W71" si="30">SUM(C68:C70)</f>
        <v>317750</v>
      </c>
      <c r="D71" s="17">
        <f t="shared" si="30"/>
        <v>195447</v>
      </c>
      <c r="E71" s="138">
        <f t="shared" si="30"/>
        <v>196594</v>
      </c>
      <c r="F71" s="138">
        <f t="shared" si="30"/>
        <v>197991</v>
      </c>
      <c r="G71" s="138">
        <f t="shared" si="30"/>
        <v>183845</v>
      </c>
      <c r="H71" s="138">
        <f t="shared" si="30"/>
        <v>159515</v>
      </c>
      <c r="I71" s="138">
        <f t="shared" si="30"/>
        <v>207520</v>
      </c>
      <c r="J71" s="138">
        <f t="shared" si="30"/>
        <v>90806</v>
      </c>
      <c r="K71" s="138">
        <f t="shared" si="30"/>
        <v>76306</v>
      </c>
      <c r="L71" s="138">
        <f t="shared" si="30"/>
        <v>56895</v>
      </c>
      <c r="M71" s="138">
        <f t="shared" si="30"/>
        <v>55816</v>
      </c>
      <c r="N71" s="138">
        <f t="shared" si="30"/>
        <v>44495</v>
      </c>
      <c r="O71" s="138">
        <f t="shared" si="30"/>
        <v>51321</v>
      </c>
      <c r="P71" s="138">
        <f t="shared" si="30"/>
        <v>49642</v>
      </c>
      <c r="Q71" s="138">
        <f t="shared" si="30"/>
        <v>87482</v>
      </c>
      <c r="R71" s="17">
        <f t="shared" si="30"/>
        <v>54655.4</v>
      </c>
      <c r="S71" s="17">
        <f t="shared" si="30"/>
        <v>62138</v>
      </c>
      <c r="T71" s="17">
        <f t="shared" si="30"/>
        <v>34452.15</v>
      </c>
      <c r="U71" s="17">
        <f t="shared" si="30"/>
        <v>33134.490000000005</v>
      </c>
      <c r="V71" s="17">
        <f t="shared" si="30"/>
        <v>38802.539999999994</v>
      </c>
      <c r="W71" s="17">
        <f t="shared" si="30"/>
        <v>39368.5</v>
      </c>
      <c r="X71" s="17">
        <f t="shared" ref="X71:Y71" si="31">+X68+X69+X70</f>
        <v>110523.17</v>
      </c>
      <c r="Y71" s="17">
        <f t="shared" si="31"/>
        <v>54048.07</v>
      </c>
      <c r="Z71" s="687">
        <f t="shared" si="29"/>
        <v>-7.7361497480493105E-2</v>
      </c>
      <c r="AA71" s="81"/>
      <c r="AB71" s="81"/>
      <c r="AC71" s="81"/>
      <c r="AD71" s="151"/>
    </row>
    <row r="72" spans="2:30" ht="15" customHeight="1" x14ac:dyDescent="0.25">
      <c r="B72" s="554"/>
      <c r="C72" s="22"/>
      <c r="D72" s="11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1"/>
      <c r="S72" s="137"/>
      <c r="T72" s="137"/>
      <c r="U72" s="137"/>
      <c r="V72" s="137"/>
      <c r="W72" s="137"/>
      <c r="X72" s="137"/>
      <c r="Y72" s="137"/>
      <c r="Z72" s="176"/>
      <c r="AA72" s="79"/>
      <c r="AB72" s="79"/>
      <c r="AC72" s="79"/>
      <c r="AD72" s="177"/>
    </row>
    <row r="73" spans="2:30" ht="15" customHeight="1" x14ac:dyDescent="0.25">
      <c r="B73" s="554" t="s">
        <v>95</v>
      </c>
      <c r="C73" s="22">
        <v>82345</v>
      </c>
      <c r="D73" s="11">
        <v>61186</v>
      </c>
      <c r="E73" s="137">
        <v>59513</v>
      </c>
      <c r="F73" s="137">
        <v>62155</v>
      </c>
      <c r="G73" s="137">
        <v>54062</v>
      </c>
      <c r="H73" s="137">
        <v>38654</v>
      </c>
      <c r="I73" s="137">
        <v>48944</v>
      </c>
      <c r="J73" s="137">
        <f>26159+3719+1861</f>
        <v>31739</v>
      </c>
      <c r="K73" s="137">
        <f>26082+1347+271</f>
        <v>27700</v>
      </c>
      <c r="L73" s="137">
        <v>16136</v>
      </c>
      <c r="M73" s="137">
        <v>19917</v>
      </c>
      <c r="N73" s="137">
        <v>10579</v>
      </c>
      <c r="O73" s="137">
        <v>18902</v>
      </c>
      <c r="P73" s="137">
        <v>17110</v>
      </c>
      <c r="Q73" s="137">
        <v>28227</v>
      </c>
      <c r="R73" s="686">
        <v>24446.89</v>
      </c>
      <c r="S73" s="721">
        <v>16238</v>
      </c>
      <c r="T73" s="721">
        <v>12722.51</v>
      </c>
      <c r="U73" s="721">
        <v>11317.6</v>
      </c>
      <c r="V73" s="721">
        <v>11446.44</v>
      </c>
      <c r="W73" s="721">
        <v>11676</v>
      </c>
      <c r="X73" s="707">
        <v>14200.52</v>
      </c>
      <c r="Y73" s="707">
        <v>16080.08</v>
      </c>
      <c r="Z73" s="175">
        <f>RATE(22,,C73,-Y73)</f>
        <v>-7.1553545021308534E-2</v>
      </c>
      <c r="AA73" s="79"/>
      <c r="AB73" s="79"/>
      <c r="AC73" s="79"/>
      <c r="AD73" s="177"/>
    </row>
    <row r="74" spans="2:30" ht="15" customHeight="1" x14ac:dyDescent="0.25">
      <c r="B74" s="554" t="s">
        <v>96</v>
      </c>
      <c r="C74" s="22">
        <v>90023</v>
      </c>
      <c r="D74" s="11">
        <v>59046</v>
      </c>
      <c r="E74" s="137">
        <v>60276</v>
      </c>
      <c r="F74" s="137">
        <v>57945</v>
      </c>
      <c r="G74" s="137">
        <v>57812</v>
      </c>
      <c r="H74" s="137">
        <v>27931</v>
      </c>
      <c r="I74" s="137">
        <v>45508.7</v>
      </c>
      <c r="J74" s="137">
        <f>23812+2214+1407</f>
        <v>27433</v>
      </c>
      <c r="K74" s="137">
        <f>21983+1498+341</f>
        <v>23822</v>
      </c>
      <c r="L74" s="137">
        <v>22610</v>
      </c>
      <c r="M74" s="137">
        <v>18778</v>
      </c>
      <c r="N74" s="137">
        <v>17754</v>
      </c>
      <c r="O74" s="137">
        <v>17141</v>
      </c>
      <c r="P74" s="137">
        <v>13780</v>
      </c>
      <c r="Q74" s="137">
        <v>23923</v>
      </c>
      <c r="R74" s="686">
        <v>21343.65</v>
      </c>
      <c r="S74" s="721">
        <v>13959</v>
      </c>
      <c r="T74" s="721">
        <v>12520.9</v>
      </c>
      <c r="U74" s="721">
        <v>12345.66</v>
      </c>
      <c r="V74" s="721">
        <v>10852.76</v>
      </c>
      <c r="W74" s="721">
        <v>12393</v>
      </c>
      <c r="X74" s="707">
        <v>13756.82</v>
      </c>
      <c r="Y74" s="707">
        <v>12360.97</v>
      </c>
      <c r="Z74" s="175">
        <f t="shared" ref="Z74:Z76" si="32">RATE(22,,C74,-Y74)</f>
        <v>-8.6298152156837601E-2</v>
      </c>
      <c r="AA74" s="79"/>
      <c r="AB74" s="79"/>
      <c r="AC74" s="79"/>
      <c r="AD74" s="177"/>
    </row>
    <row r="75" spans="2:30" ht="15" customHeight="1" x14ac:dyDescent="0.25">
      <c r="B75" s="554" t="s">
        <v>97</v>
      </c>
      <c r="C75" s="22">
        <v>80699</v>
      </c>
      <c r="D75" s="11">
        <v>67149</v>
      </c>
      <c r="E75" s="137">
        <v>54873</v>
      </c>
      <c r="F75" s="137">
        <v>61427</v>
      </c>
      <c r="G75" s="137">
        <v>57366</v>
      </c>
      <c r="H75" s="137">
        <v>24584</v>
      </c>
      <c r="I75" s="137">
        <v>186684.99</v>
      </c>
      <c r="J75" s="137">
        <f>31844+2829+1663</f>
        <v>36336</v>
      </c>
      <c r="K75" s="137">
        <f>20298+375+88</f>
        <v>20761</v>
      </c>
      <c r="L75" s="137">
        <v>15761</v>
      </c>
      <c r="M75" s="137">
        <v>18863</v>
      </c>
      <c r="N75" s="137">
        <v>29816</v>
      </c>
      <c r="O75" s="137">
        <v>20654</v>
      </c>
      <c r="P75" s="137">
        <v>15420</v>
      </c>
      <c r="Q75" s="137">
        <v>21619</v>
      </c>
      <c r="R75" s="686">
        <v>17719.900000000001</v>
      </c>
      <c r="S75" s="721">
        <v>12737</v>
      </c>
      <c r="T75" s="721">
        <v>11124.61</v>
      </c>
      <c r="U75" s="721">
        <v>13039.06</v>
      </c>
      <c r="V75" s="721">
        <v>13272.34</v>
      </c>
      <c r="W75" s="721">
        <v>15436.5</v>
      </c>
      <c r="X75" s="707">
        <v>15581.13</v>
      </c>
      <c r="Y75" s="707">
        <v>16070.07</v>
      </c>
      <c r="Z75" s="175">
        <f t="shared" si="32"/>
        <v>-7.0727330764232613E-2</v>
      </c>
      <c r="AA75" s="79"/>
      <c r="AB75" s="79"/>
      <c r="AC75" s="79"/>
      <c r="AD75" s="177"/>
    </row>
    <row r="76" spans="2:30" ht="15" customHeight="1" x14ac:dyDescent="0.25">
      <c r="B76" s="555" t="s">
        <v>118</v>
      </c>
      <c r="C76" s="21">
        <f t="shared" ref="C76:W76" si="33">SUM(C73:C75)</f>
        <v>253067</v>
      </c>
      <c r="D76" s="17">
        <f t="shared" si="33"/>
        <v>187381</v>
      </c>
      <c r="E76" s="138">
        <f t="shared" si="33"/>
        <v>174662</v>
      </c>
      <c r="F76" s="138">
        <f t="shared" si="33"/>
        <v>181527</v>
      </c>
      <c r="G76" s="138">
        <f t="shared" si="33"/>
        <v>169240</v>
      </c>
      <c r="H76" s="138">
        <f t="shared" si="33"/>
        <v>91169</v>
      </c>
      <c r="I76" s="138">
        <f t="shared" si="33"/>
        <v>281137.69</v>
      </c>
      <c r="J76" s="138">
        <f t="shared" si="33"/>
        <v>95508</v>
      </c>
      <c r="K76" s="138">
        <f t="shared" si="33"/>
        <v>72283</v>
      </c>
      <c r="L76" s="138">
        <f t="shared" si="33"/>
        <v>54507</v>
      </c>
      <c r="M76" s="138">
        <f t="shared" si="33"/>
        <v>57558</v>
      </c>
      <c r="N76" s="138">
        <f t="shared" si="33"/>
        <v>58149</v>
      </c>
      <c r="O76" s="138">
        <f t="shared" si="33"/>
        <v>56697</v>
      </c>
      <c r="P76" s="138">
        <f t="shared" si="33"/>
        <v>46310</v>
      </c>
      <c r="Q76" s="138">
        <f t="shared" si="33"/>
        <v>73769</v>
      </c>
      <c r="R76" s="17">
        <f t="shared" si="33"/>
        <v>63510.44</v>
      </c>
      <c r="S76" s="17">
        <f t="shared" si="33"/>
        <v>42934</v>
      </c>
      <c r="T76" s="17">
        <f t="shared" si="33"/>
        <v>36368.020000000004</v>
      </c>
      <c r="U76" s="17">
        <f t="shared" si="33"/>
        <v>36702.32</v>
      </c>
      <c r="V76" s="17">
        <f t="shared" si="33"/>
        <v>35571.54</v>
      </c>
      <c r="W76" s="17">
        <f t="shared" si="33"/>
        <v>39505.5</v>
      </c>
      <c r="X76" s="17">
        <f t="shared" ref="X76:Y76" si="34">+X73+X74+X75</f>
        <v>43538.47</v>
      </c>
      <c r="Y76" s="17">
        <f t="shared" si="34"/>
        <v>44511.119999999995</v>
      </c>
      <c r="Z76" s="687">
        <f t="shared" si="32"/>
        <v>-7.5956515062902949E-2</v>
      </c>
      <c r="AA76" s="81"/>
      <c r="AB76" s="81"/>
      <c r="AC76" s="81"/>
      <c r="AD76" s="151"/>
    </row>
    <row r="77" spans="2:30" ht="15" customHeight="1" thickBot="1" x14ac:dyDescent="0.3">
      <c r="B77" s="596"/>
      <c r="C77" s="22"/>
      <c r="D77" s="11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1"/>
      <c r="S77" s="137"/>
      <c r="T77" s="137"/>
      <c r="U77" s="137"/>
      <c r="V77" s="137"/>
      <c r="W77" s="137"/>
      <c r="X77" s="137"/>
      <c r="Y77" s="137"/>
      <c r="Z77" s="176"/>
      <c r="AA77" s="79"/>
      <c r="AB77" s="79"/>
      <c r="AC77" s="79"/>
      <c r="AD77" s="177"/>
    </row>
    <row r="78" spans="2:30" ht="24.9" customHeight="1" thickBot="1" x14ac:dyDescent="0.3">
      <c r="B78" s="597" t="s">
        <v>119</v>
      </c>
      <c r="C78" s="26">
        <f t="shared" ref="C78:M78" si="35">+C61+C66+C71+C76</f>
        <v>1202813</v>
      </c>
      <c r="D78" s="73">
        <f t="shared" si="35"/>
        <v>891160</v>
      </c>
      <c r="E78" s="146">
        <f t="shared" si="35"/>
        <v>786994</v>
      </c>
      <c r="F78" s="146">
        <f t="shared" si="35"/>
        <v>803874</v>
      </c>
      <c r="G78" s="146">
        <f t="shared" si="35"/>
        <v>729154</v>
      </c>
      <c r="H78" s="146">
        <f t="shared" si="35"/>
        <v>523100</v>
      </c>
      <c r="I78" s="146">
        <f t="shared" si="35"/>
        <v>931121.59000000008</v>
      </c>
      <c r="J78" s="146">
        <f t="shared" si="35"/>
        <v>364042</v>
      </c>
      <c r="K78" s="146">
        <f t="shared" si="35"/>
        <v>347947</v>
      </c>
      <c r="L78" s="146">
        <f t="shared" si="35"/>
        <v>245018</v>
      </c>
      <c r="M78" s="146">
        <f t="shared" si="35"/>
        <v>220004</v>
      </c>
      <c r="N78" s="146">
        <f t="shared" ref="N78:T78" si="36">+N61+N66+N71+N76</f>
        <v>235838</v>
      </c>
      <c r="O78" s="146">
        <f t="shared" si="36"/>
        <v>212985</v>
      </c>
      <c r="P78" s="146">
        <f t="shared" si="36"/>
        <v>209283</v>
      </c>
      <c r="Q78" s="146">
        <f t="shared" si="36"/>
        <v>308613</v>
      </c>
      <c r="R78" s="146">
        <f t="shared" si="36"/>
        <v>259275.08</v>
      </c>
      <c r="S78" s="146">
        <f t="shared" si="36"/>
        <v>234720</v>
      </c>
      <c r="T78" s="146">
        <f t="shared" si="36"/>
        <v>146499.53999999998</v>
      </c>
      <c r="U78" s="146">
        <f>+U61+U66+U71+U76</f>
        <v>144485.80000000002</v>
      </c>
      <c r="V78" s="146">
        <f>+V61+V66+V71+V76</f>
        <v>137815.74</v>
      </c>
      <c r="W78" s="146">
        <f>+W61+W66+W71+W76</f>
        <v>157392.5</v>
      </c>
      <c r="X78" s="146">
        <f t="shared" ref="X78:Y78" si="37">+X61+X66+X71+X76</f>
        <v>232585.99999999997</v>
      </c>
      <c r="Y78" s="146">
        <f t="shared" si="37"/>
        <v>205705.74000000002</v>
      </c>
      <c r="Z78" s="762">
        <f>RATE(22,,C78,-Y78)</f>
        <v>-7.7134185200106162E-2</v>
      </c>
      <c r="AA78" s="81"/>
      <c r="AB78" s="81"/>
      <c r="AC78" s="81"/>
      <c r="AD78" s="151"/>
    </row>
    <row r="80" spans="2:30" s="14" customFormat="1" ht="15" customHeight="1" x14ac:dyDescent="0.25">
      <c r="B80" s="63" t="s">
        <v>219</v>
      </c>
      <c r="Z80" s="48"/>
      <c r="AD80" s="48"/>
    </row>
  </sheetData>
  <mergeCells count="10">
    <mergeCell ref="B1:Z1"/>
    <mergeCell ref="B2:Z2"/>
    <mergeCell ref="B3:Z3"/>
    <mergeCell ref="B4:Z4"/>
    <mergeCell ref="B55:B56"/>
    <mergeCell ref="C55:Z55"/>
    <mergeCell ref="B5:B6"/>
    <mergeCell ref="C5:Z5"/>
    <mergeCell ref="B30:B31"/>
    <mergeCell ref="C30:Z30"/>
  </mergeCells>
  <phoneticPr fontId="0" type="noConversion"/>
  <printOptions horizontalCentered="1"/>
  <pageMargins left="0.78740157480314965" right="0.39370078740157483" top="0.39370078740157483" bottom="0.78740157480314965" header="0" footer="0"/>
  <pageSetup scale="3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T27"/>
  <sheetViews>
    <sheetView workbookViewId="0">
      <selection activeCell="E35" sqref="E35"/>
    </sheetView>
  </sheetViews>
  <sheetFormatPr baseColWidth="10" defaultColWidth="10.6640625" defaultRowHeight="15" customHeight="1" x14ac:dyDescent="0.25"/>
  <cols>
    <col min="1" max="1" width="2.6640625" style="93" customWidth="1"/>
    <col min="2" max="2" width="10.6640625" style="93" customWidth="1"/>
    <col min="3" max="9" width="10.6640625" style="94" customWidth="1"/>
    <col min="10" max="10" width="2.6640625" style="94" customWidth="1"/>
    <col min="11" max="11" width="10.6640625" style="94" customWidth="1"/>
    <col min="12" max="12" width="12.6640625" style="94" customWidth="1"/>
    <col min="13" max="20" width="12.6640625" style="93" customWidth="1"/>
    <col min="21" max="16384" width="10.6640625" style="93"/>
  </cols>
  <sheetData>
    <row r="1" spans="2:20" ht="15" customHeight="1" x14ac:dyDescent="0.25">
      <c r="B1" s="843" t="s">
        <v>58</v>
      </c>
      <c r="C1" s="843"/>
      <c r="D1" s="843"/>
      <c r="E1" s="843"/>
      <c r="F1" s="843"/>
      <c r="G1" s="843"/>
      <c r="H1" s="843"/>
      <c r="I1" s="843"/>
    </row>
    <row r="2" spans="2:20" ht="15" customHeight="1" x14ac:dyDescent="0.25">
      <c r="B2" s="844" t="s">
        <v>68</v>
      </c>
      <c r="C2" s="844"/>
      <c r="D2" s="844"/>
      <c r="E2" s="844"/>
      <c r="F2" s="844"/>
      <c r="G2" s="844"/>
      <c r="H2" s="844"/>
      <c r="I2" s="844"/>
    </row>
    <row r="3" spans="2:20" ht="15" customHeight="1" thickBot="1" x14ac:dyDescent="0.3">
      <c r="B3" s="844" t="s">
        <v>1</v>
      </c>
      <c r="C3" s="844"/>
      <c r="D3" s="844"/>
      <c r="E3" s="844"/>
      <c r="F3" s="844"/>
      <c r="G3" s="844"/>
      <c r="H3" s="844"/>
      <c r="I3" s="844"/>
    </row>
    <row r="4" spans="2:20" ht="15" customHeight="1" x14ac:dyDescent="0.25">
      <c r="K4" s="841" t="s">
        <v>82</v>
      </c>
      <c r="L4" s="506" t="s">
        <v>49</v>
      </c>
      <c r="M4" s="845" t="s">
        <v>51</v>
      </c>
      <c r="N4" s="845"/>
      <c r="O4" s="845" t="s">
        <v>111</v>
      </c>
      <c r="P4" s="845"/>
      <c r="Q4" s="845" t="s">
        <v>112</v>
      </c>
      <c r="R4" s="845"/>
      <c r="S4" s="845" t="s">
        <v>50</v>
      </c>
      <c r="T4" s="846"/>
    </row>
    <row r="5" spans="2:20" ht="15" customHeight="1" thickBot="1" x14ac:dyDescent="0.3">
      <c r="K5" s="847"/>
      <c r="L5" s="507" t="s">
        <v>48</v>
      </c>
      <c r="M5" s="508" t="s">
        <v>81</v>
      </c>
      <c r="N5" s="508" t="s">
        <v>148</v>
      </c>
      <c r="O5" s="508" t="s">
        <v>81</v>
      </c>
      <c r="P5" s="508" t="s">
        <v>148</v>
      </c>
      <c r="Q5" s="508" t="s">
        <v>81</v>
      </c>
      <c r="R5" s="508" t="s">
        <v>148</v>
      </c>
      <c r="S5" s="508" t="s">
        <v>81</v>
      </c>
      <c r="T5" s="509" t="s">
        <v>148</v>
      </c>
    </row>
    <row r="6" spans="2:20" ht="15" customHeight="1" x14ac:dyDescent="0.25">
      <c r="K6" s="499">
        <v>1996</v>
      </c>
      <c r="L6" s="157">
        <v>14687.9</v>
      </c>
      <c r="M6" s="158">
        <v>283992430</v>
      </c>
      <c r="N6" s="167">
        <v>19.34</v>
      </c>
      <c r="O6" s="158">
        <v>11810399</v>
      </c>
      <c r="P6" s="167">
        <v>0.8</v>
      </c>
      <c r="Q6" s="158">
        <v>116638</v>
      </c>
      <c r="R6" s="168">
        <v>7.9000000000000008E-3</v>
      </c>
      <c r="S6" s="158">
        <v>295919467</v>
      </c>
      <c r="T6" s="159">
        <v>20.149999999999999</v>
      </c>
    </row>
    <row r="7" spans="2:20" ht="15" customHeight="1" x14ac:dyDescent="0.25">
      <c r="K7" s="500">
        <v>1997</v>
      </c>
      <c r="L7" s="160">
        <v>14825.8</v>
      </c>
      <c r="M7" s="102">
        <v>247082678</v>
      </c>
      <c r="N7" s="155">
        <v>16.670000000000002</v>
      </c>
      <c r="O7" s="102">
        <v>15009403</v>
      </c>
      <c r="P7" s="155">
        <v>1.01</v>
      </c>
      <c r="Q7" s="102">
        <v>88742</v>
      </c>
      <c r="R7" s="155">
        <v>0.01</v>
      </c>
      <c r="S7" s="102">
        <v>262180823</v>
      </c>
      <c r="T7" s="161">
        <v>17.68</v>
      </c>
    </row>
    <row r="8" spans="2:20" ht="15" customHeight="1" x14ac:dyDescent="0.25">
      <c r="K8" s="500">
        <v>1998</v>
      </c>
      <c r="L8" s="160">
        <v>16628.099999999999</v>
      </c>
      <c r="M8" s="102">
        <v>167204406</v>
      </c>
      <c r="N8" s="155">
        <v>10.06</v>
      </c>
      <c r="O8" s="102">
        <v>14257136</v>
      </c>
      <c r="P8" s="155">
        <v>0.86</v>
      </c>
      <c r="Q8" s="102">
        <v>71587</v>
      </c>
      <c r="R8" s="165">
        <v>4.3E-3</v>
      </c>
      <c r="S8" s="102">
        <v>181533129</v>
      </c>
      <c r="T8" s="161">
        <v>10.92</v>
      </c>
    </row>
    <row r="9" spans="2:20" ht="15" customHeight="1" x14ac:dyDescent="0.25">
      <c r="K9" s="500">
        <v>1999</v>
      </c>
      <c r="L9" s="160">
        <v>18001.3</v>
      </c>
      <c r="M9" s="102">
        <v>289464416</v>
      </c>
      <c r="N9" s="155">
        <v>16.079999999999998</v>
      </c>
      <c r="O9" s="102">
        <v>12336069</v>
      </c>
      <c r="P9" s="155">
        <v>0.69</v>
      </c>
      <c r="Q9" s="102">
        <v>97153</v>
      </c>
      <c r="R9" s="165">
        <v>5.4000000000000003E-3</v>
      </c>
      <c r="S9" s="102">
        <v>301897638</v>
      </c>
      <c r="T9" s="161">
        <v>16.77</v>
      </c>
    </row>
    <row r="10" spans="2:20" ht="15" customHeight="1" x14ac:dyDescent="0.25">
      <c r="K10" s="500">
        <v>2000</v>
      </c>
      <c r="L10" s="160">
        <v>16192.7</v>
      </c>
      <c r="M10" s="102">
        <v>439102567</v>
      </c>
      <c r="N10" s="156">
        <v>27.12</v>
      </c>
      <c r="O10" s="102">
        <v>19255753</v>
      </c>
      <c r="P10" s="156">
        <v>1.19</v>
      </c>
      <c r="Q10" s="102">
        <v>137615</v>
      </c>
      <c r="R10" s="166">
        <v>8.5000000000000006E-3</v>
      </c>
      <c r="S10" s="102">
        <v>458495935</v>
      </c>
      <c r="T10" s="162">
        <v>28.31</v>
      </c>
    </row>
    <row r="11" spans="2:20" ht="15" customHeight="1" x14ac:dyDescent="0.25">
      <c r="K11" s="500">
        <v>2001</v>
      </c>
      <c r="L11" s="160">
        <v>20621</v>
      </c>
      <c r="M11" s="102">
        <v>437897624</v>
      </c>
      <c r="N11" s="156">
        <v>20.94</v>
      </c>
      <c r="O11" s="102">
        <v>24325595</v>
      </c>
      <c r="P11" s="156">
        <v>1.18</v>
      </c>
      <c r="Q11" s="102">
        <v>136437</v>
      </c>
      <c r="R11" s="166">
        <v>6.6E-3</v>
      </c>
      <c r="S11" s="102">
        <v>456359656</v>
      </c>
      <c r="T11" s="162">
        <v>22.13</v>
      </c>
    </row>
    <row r="12" spans="2:20" ht="15" customHeight="1" thickBot="1" x14ac:dyDescent="0.3">
      <c r="K12" s="501">
        <v>2002</v>
      </c>
      <c r="L12" s="163">
        <v>9843</v>
      </c>
      <c r="M12" s="104">
        <v>213222637</v>
      </c>
      <c r="N12" s="169">
        <f>+M12/9842905</f>
        <v>21.662571872836324</v>
      </c>
      <c r="O12" s="104">
        <v>8413104</v>
      </c>
      <c r="P12" s="169">
        <f>+O12/9842905</f>
        <v>0.8547379051204903</v>
      </c>
      <c r="Q12" s="104">
        <v>46567</v>
      </c>
      <c r="R12" s="170">
        <f>+Q12/9842905</f>
        <v>4.7310219899511377E-3</v>
      </c>
      <c r="S12" s="104">
        <v>221682308</v>
      </c>
      <c r="T12" s="164">
        <f>+S12/9842905</f>
        <v>22.522040799946765</v>
      </c>
    </row>
    <row r="27" spans="2:6" ht="15" customHeight="1" x14ac:dyDescent="0.25">
      <c r="B27" s="47" t="s">
        <v>259</v>
      </c>
      <c r="C27" s="47"/>
      <c r="D27" s="47"/>
      <c r="E27" s="47"/>
      <c r="F27" s="47"/>
    </row>
  </sheetData>
  <mergeCells count="8">
    <mergeCell ref="S4:T4"/>
    <mergeCell ref="K4:K5"/>
    <mergeCell ref="M4:N4"/>
    <mergeCell ref="O4:P4"/>
    <mergeCell ref="B1:I1"/>
    <mergeCell ref="B2:I2"/>
    <mergeCell ref="B3:I3"/>
    <mergeCell ref="Q4:R4"/>
  </mergeCells>
  <phoneticPr fontId="0" type="noConversion"/>
  <pageMargins left="0.78740157480314965" right="0.78740157480314965" top="0.98425196850393704" bottom="0.98425196850393704" header="0.51181102362204722" footer="0.51181102362204722"/>
  <pageSetup scale="56" orientation="landscape" horizontalDpi="360" verticalDpi="300" r:id="rId1"/>
  <headerFooter alignWithMargins="0">
    <oddHeader>&amp;A</oddHeader>
    <oddFooter>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AI80"/>
  <sheetViews>
    <sheetView topLeftCell="G1" zoomScale="90" workbookViewId="0">
      <selection activeCell="AB23" sqref="AB23"/>
    </sheetView>
  </sheetViews>
  <sheetFormatPr baseColWidth="10" defaultColWidth="11.44140625" defaultRowHeight="15" x14ac:dyDescent="0.25"/>
  <cols>
    <col min="1" max="1" width="2.6640625" style="13" customWidth="1"/>
    <col min="2" max="2" width="25.6640625" style="13" customWidth="1"/>
    <col min="3" max="3" width="13.6640625" style="13" customWidth="1"/>
    <col min="4" max="5" width="14.109375" style="13" customWidth="1"/>
    <col min="6" max="6" width="13.88671875" style="13" customWidth="1"/>
    <col min="7" max="7" width="13.6640625" style="13" customWidth="1"/>
    <col min="8" max="8" width="13.88671875" style="13" customWidth="1"/>
    <col min="9" max="9" width="13.6640625" style="13" customWidth="1"/>
    <col min="10" max="25" width="13.44140625" style="13" customWidth="1"/>
    <col min="26" max="26" width="12.6640625" style="45" customWidth="1"/>
    <col min="27" max="31" width="15.6640625" style="13" customWidth="1"/>
    <col min="32" max="32" width="12.6640625" style="45" customWidth="1"/>
    <col min="33" max="34" width="15.6640625" style="13" customWidth="1"/>
    <col min="35" max="35" width="10.6640625" style="13" customWidth="1"/>
    <col min="36" max="16384" width="11.44140625" style="13"/>
  </cols>
  <sheetData>
    <row r="1" spans="2:35" ht="15" customHeight="1" x14ac:dyDescent="0.25">
      <c r="B1" s="864" t="s">
        <v>193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47"/>
      <c r="AB1" s="47"/>
      <c r="AC1" s="47"/>
      <c r="AD1" s="47"/>
      <c r="AE1" s="47"/>
      <c r="AF1" s="47"/>
      <c r="AG1" s="41"/>
      <c r="AH1" s="41"/>
      <c r="AI1" s="41"/>
    </row>
    <row r="2" spans="2:35" ht="15" customHeight="1" x14ac:dyDescent="0.25">
      <c r="B2" s="864" t="s">
        <v>142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47"/>
      <c r="AB2" s="47"/>
      <c r="AC2" s="47"/>
      <c r="AD2" s="47"/>
      <c r="AE2" s="47"/>
      <c r="AF2" s="47"/>
      <c r="AG2" s="41"/>
      <c r="AH2" s="41"/>
      <c r="AI2" s="41"/>
    </row>
    <row r="3" spans="2:35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  <c r="AA3" s="47"/>
      <c r="AB3" s="47"/>
      <c r="AC3" s="47"/>
      <c r="AD3" s="47"/>
      <c r="AE3" s="47"/>
      <c r="AF3" s="47"/>
      <c r="AG3" s="41"/>
      <c r="AH3" s="41"/>
      <c r="AI3" s="41"/>
    </row>
    <row r="4" spans="2:35" ht="15" customHeight="1" thickBot="1" x14ac:dyDescent="0.3">
      <c r="B4" s="929" t="s">
        <v>27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47"/>
      <c r="AB4" s="47"/>
      <c r="AC4" s="47"/>
      <c r="AD4" s="47"/>
      <c r="AE4" s="47"/>
      <c r="AF4" s="47"/>
      <c r="AG4" s="41"/>
      <c r="AH4" s="41"/>
      <c r="AI4" s="41"/>
    </row>
    <row r="5" spans="2:35" ht="15" customHeight="1" x14ac:dyDescent="0.25">
      <c r="B5" s="922" t="s">
        <v>100</v>
      </c>
      <c r="C5" s="922" t="s">
        <v>136</v>
      </c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4"/>
      <c r="AA5" s="298"/>
      <c r="AB5" s="35"/>
      <c r="AC5" s="35"/>
      <c r="AF5" s="13"/>
    </row>
    <row r="6" spans="2:35" ht="45" customHeight="1" thickBot="1" x14ac:dyDescent="0.3">
      <c r="B6" s="932"/>
      <c r="C6" s="592">
        <v>1999</v>
      </c>
      <c r="D6" s="587">
        <v>2000</v>
      </c>
      <c r="E6" s="588">
        <v>2001</v>
      </c>
      <c r="F6" s="588">
        <v>2002</v>
      </c>
      <c r="G6" s="588">
        <v>2003</v>
      </c>
      <c r="H6" s="588">
        <v>2004</v>
      </c>
      <c r="I6" s="588">
        <v>2005</v>
      </c>
      <c r="J6" s="588">
        <v>2006</v>
      </c>
      <c r="K6" s="586">
        <v>2007</v>
      </c>
      <c r="L6" s="588">
        <v>2008</v>
      </c>
      <c r="M6" s="588">
        <v>2009</v>
      </c>
      <c r="N6" s="589">
        <v>2010</v>
      </c>
      <c r="O6" s="589">
        <v>2011</v>
      </c>
      <c r="P6" s="589">
        <v>2012</v>
      </c>
      <c r="Q6" s="589">
        <v>2013</v>
      </c>
      <c r="R6" s="589">
        <v>2014</v>
      </c>
      <c r="S6" s="589">
        <v>2015</v>
      </c>
      <c r="T6" s="738">
        <v>2016</v>
      </c>
      <c r="U6" s="756">
        <v>2017</v>
      </c>
      <c r="V6" s="769">
        <v>2018</v>
      </c>
      <c r="W6" s="788">
        <v>2019</v>
      </c>
      <c r="X6" s="805">
        <v>2020</v>
      </c>
      <c r="Y6" s="834">
        <v>2021</v>
      </c>
      <c r="Z6" s="598" t="s">
        <v>308</v>
      </c>
      <c r="AA6" s="31"/>
      <c r="AB6" s="31"/>
      <c r="AC6" s="52"/>
      <c r="AF6" s="13"/>
    </row>
    <row r="7" spans="2:35" ht="15" customHeight="1" x14ac:dyDescent="0.25">
      <c r="B7" s="558"/>
      <c r="C7" s="393"/>
      <c r="D7" s="394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174"/>
      <c r="AA7" s="79"/>
      <c r="AB7" s="79"/>
      <c r="AC7" s="80"/>
      <c r="AF7" s="13"/>
    </row>
    <row r="8" spans="2:35" ht="15" customHeight="1" x14ac:dyDescent="0.25">
      <c r="B8" s="554" t="s">
        <v>86</v>
      </c>
      <c r="C8" s="396">
        <f>'C-SH-7A VenCombustbEstSer,99-21'!C8/42</f>
        <v>252325.28571428571</v>
      </c>
      <c r="D8" s="397">
        <f>'C-SH-7A VenCombustbEstSer,99-21'!D8/42</f>
        <v>271151</v>
      </c>
      <c r="E8" s="398">
        <f>'C-SH-7A VenCombustbEstSer,99-21'!E8/42</f>
        <v>264457.97619047621</v>
      </c>
      <c r="F8" s="398">
        <f>'C-SH-7A VenCombustbEstSer,99-21'!F8/42</f>
        <v>270899.59523809527</v>
      </c>
      <c r="G8" s="398">
        <f>'C-SH-7A VenCombustbEstSer,99-21'!G8/42</f>
        <v>257873.57142857142</v>
      </c>
      <c r="H8" s="398">
        <f>'C-SH-7A VenCombustbEstSer,99-21'!H8/42</f>
        <v>269688.42857142858</v>
      </c>
      <c r="I8" s="398">
        <f>'C-SH-7A VenCombustbEstSer,99-21'!I8/42</f>
        <v>264170.83333333331</v>
      </c>
      <c r="J8" s="398">
        <f>'C-SH-7A VenCombustbEstSer,99-21'!J8/42</f>
        <v>260810.88095238095</v>
      </c>
      <c r="K8" s="398">
        <f>'C-SH-7A VenCombustbEstSer,99-21'!K8/42</f>
        <v>295391.88095238095</v>
      </c>
      <c r="L8" s="398">
        <f>'C-SH-7A VenCombustbEstSer,99-21'!L8/42</f>
        <v>323064.73809523811</v>
      </c>
      <c r="M8" s="398">
        <f>'C-SH-7A VenCombustbEstSer,99-21'!M8/42</f>
        <v>384375.80952380953</v>
      </c>
      <c r="N8" s="398">
        <f>'C-SH-7A VenCombustbEstSer,99-21'!N8/42</f>
        <v>362177.04761904763</v>
      </c>
      <c r="O8" s="398">
        <f>'C-SH-7A VenCombustbEstSer,99-21'!O8/42</f>
        <v>397951.30952380953</v>
      </c>
      <c r="P8" s="398">
        <f>'C-SH-7A VenCombustbEstSer,99-21'!P8/42</f>
        <v>428467.95238095237</v>
      </c>
      <c r="Q8" s="398">
        <f>'C-SH-7A VenCombustbEstSer,99-21'!Q8/42</f>
        <v>434956.97619047621</v>
      </c>
      <c r="R8" s="398">
        <f>'C-SH-7A VenCombustbEstSer,99-21'!R8/42</f>
        <v>473955.96428571426</v>
      </c>
      <c r="S8" s="398">
        <f>'C-SH-7A VenCombustbEstSer,99-21'!S8/42</f>
        <v>518696.83333333331</v>
      </c>
      <c r="T8" s="398">
        <f>'C-SH-7A VenCombustbEstSer,99-21'!T8/42</f>
        <v>551045.18380952382</v>
      </c>
      <c r="U8" s="398">
        <f>'C-SH-7A VenCombustbEstSer,99-21'!U8/42</f>
        <v>573143.55928571429</v>
      </c>
      <c r="V8" s="398">
        <f>'C-SH-7A VenCombustbEstSer,99-21'!V8/42</f>
        <v>591169.3716666667</v>
      </c>
      <c r="W8" s="398">
        <f>'C-SH-7A VenCombustbEstSer,99-21'!W8/42</f>
        <v>625477.59523809527</v>
      </c>
      <c r="X8" s="398">
        <f>'C-SH-7A VenCombustbEstSer,99-21'!X8/42</f>
        <v>632706.03857142862</v>
      </c>
      <c r="Y8" s="398">
        <f>'C-SH-7A VenCombustbEstSer,99-21'!Y8/42</f>
        <v>402343.14452380955</v>
      </c>
      <c r="Z8" s="175">
        <f>RATE(22,,C8,-Y8)</f>
        <v>2.1434963645810136E-2</v>
      </c>
      <c r="AA8" s="79"/>
      <c r="AB8" s="79"/>
      <c r="AC8" s="80"/>
      <c r="AF8" s="13"/>
    </row>
    <row r="9" spans="2:35" ht="15" customHeight="1" x14ac:dyDescent="0.25">
      <c r="B9" s="554" t="s">
        <v>87</v>
      </c>
      <c r="C9" s="396">
        <f>'C-SH-7A VenCombustbEstSer,99-21'!C9/42</f>
        <v>247548.07142857142</v>
      </c>
      <c r="D9" s="397">
        <f>'C-SH-7A VenCombustbEstSer,99-21'!D9/42</f>
        <v>256764.71428571429</v>
      </c>
      <c r="E9" s="398">
        <f>'C-SH-7A VenCombustbEstSer,99-21'!E9/42</f>
        <v>239780.61904761905</v>
      </c>
      <c r="F9" s="398">
        <f>'C-SH-7A VenCombustbEstSer,99-21'!F9/42</f>
        <v>248267.73809523811</v>
      </c>
      <c r="G9" s="398">
        <f>'C-SH-7A VenCombustbEstSer,99-21'!G9/42</f>
        <v>250401.40476190476</v>
      </c>
      <c r="H9" s="398">
        <f>'C-SH-7A VenCombustbEstSer,99-21'!H9/42</f>
        <v>244565.33333333334</v>
      </c>
      <c r="I9" s="398">
        <f>'C-SH-7A VenCombustbEstSer,99-21'!I9/42</f>
        <v>237653.71428571429</v>
      </c>
      <c r="J9" s="398">
        <f>'C-SH-7A VenCombustbEstSer,99-21'!J9/42</f>
        <v>249935.35714285713</v>
      </c>
      <c r="K9" s="398">
        <f>'C-SH-7A VenCombustbEstSer,99-21'!K9/42</f>
        <v>284467.21428571426</v>
      </c>
      <c r="L9" s="398">
        <f>'C-SH-7A VenCombustbEstSer,99-21'!L9/42</f>
        <v>297581.92857142858</v>
      </c>
      <c r="M9" s="398">
        <f>'C-SH-7A VenCombustbEstSer,99-21'!M9/42</f>
        <v>323067.30952380953</v>
      </c>
      <c r="N9" s="398">
        <f>'C-SH-7A VenCombustbEstSer,99-21'!N9/42</f>
        <v>358963.57142857142</v>
      </c>
      <c r="O9" s="398">
        <f>'C-SH-7A VenCombustbEstSer,99-21'!O9/42</f>
        <v>392105.04761904763</v>
      </c>
      <c r="P9" s="398">
        <f>'C-SH-7A VenCombustbEstSer,99-21'!P9/42</f>
        <v>404395.73809523811</v>
      </c>
      <c r="Q9" s="398">
        <f>'C-SH-7A VenCombustbEstSer,99-21'!Q9/42</f>
        <v>398270.90476190473</v>
      </c>
      <c r="R9" s="398">
        <f>'C-SH-7A VenCombustbEstSer,99-21'!R9/42</f>
        <v>441419.39404761908</v>
      </c>
      <c r="S9" s="398">
        <f>'C-SH-7A VenCombustbEstSer,99-21'!S9/42</f>
        <v>476207.38095238095</v>
      </c>
      <c r="T9" s="398">
        <f>'C-SH-7A VenCombustbEstSer,99-21'!T9/42</f>
        <v>542239.98499999999</v>
      </c>
      <c r="U9" s="398">
        <f>'C-SH-7A VenCombustbEstSer,99-21'!U9/42</f>
        <v>548337.04761904757</v>
      </c>
      <c r="V9" s="398">
        <f>'C-SH-7A VenCombustbEstSer,99-21'!V9/42</f>
        <v>525881.88023809518</v>
      </c>
      <c r="W9" s="398">
        <f>'C-SH-7A VenCombustbEstSer,99-21'!W9/42</f>
        <v>605192.80952380947</v>
      </c>
      <c r="X9" s="398">
        <f>'C-SH-7A VenCombustbEstSer,99-21'!X9/42</f>
        <v>628910.0745238096</v>
      </c>
      <c r="Y9" s="398">
        <f>'C-SH-7A VenCombustbEstSer,99-21'!Y9/42</f>
        <v>487147.94761904754</v>
      </c>
      <c r="Z9" s="175">
        <f t="shared" ref="Z9:Z11" si="0">RATE(22,,C9,-Y9)</f>
        <v>3.1249371360212785E-2</v>
      </c>
      <c r="AA9" s="79"/>
      <c r="AB9" s="79"/>
      <c r="AC9" s="80"/>
      <c r="AF9" s="13"/>
    </row>
    <row r="10" spans="2:35" ht="15" customHeight="1" x14ac:dyDescent="0.25">
      <c r="B10" s="554" t="s">
        <v>88</v>
      </c>
      <c r="C10" s="396">
        <f>'C-SH-7A VenCombustbEstSer,99-21'!C10/42</f>
        <v>288073.21428571426</v>
      </c>
      <c r="D10" s="397">
        <f>'C-SH-7A VenCombustbEstSer,99-21'!D10/42</f>
        <v>278509.23809523811</v>
      </c>
      <c r="E10" s="398">
        <f>'C-SH-7A VenCombustbEstSer,99-21'!E10/42</f>
        <v>270588.71428571426</v>
      </c>
      <c r="F10" s="398">
        <f>'C-SH-7A VenCombustbEstSer,99-21'!F10/42</f>
        <v>284530.95238095237</v>
      </c>
      <c r="G10" s="398">
        <f>'C-SH-7A VenCombustbEstSer,99-21'!G10/42</f>
        <v>254970.61904761905</v>
      </c>
      <c r="H10" s="398">
        <f>'C-SH-7A VenCombustbEstSer,99-21'!H10/42</f>
        <v>295040.28571428574</v>
      </c>
      <c r="I10" s="398">
        <f>'C-SH-7A VenCombustbEstSer,99-21'!I10/42</f>
        <v>299651.94142857142</v>
      </c>
      <c r="J10" s="398">
        <f>'C-SH-7A VenCombustbEstSer,99-21'!J10/42</f>
        <v>300431.04761904763</v>
      </c>
      <c r="K10" s="398">
        <f>'C-SH-7A VenCombustbEstSer,99-21'!K10/42</f>
        <v>324753.21428571426</v>
      </c>
      <c r="L10" s="398">
        <f>'C-SH-7A VenCombustbEstSer,99-21'!L10/42</f>
        <v>321274.64285714284</v>
      </c>
      <c r="M10" s="398">
        <f>'C-SH-7A VenCombustbEstSer,99-21'!M10/42</f>
        <v>383402.33333333331</v>
      </c>
      <c r="N10" s="398">
        <f>'C-SH-7A VenCombustbEstSer,99-21'!N10/42</f>
        <v>416828.88095238095</v>
      </c>
      <c r="O10" s="398">
        <f>'C-SH-7A VenCombustbEstSer,99-21'!O10/42</f>
        <v>414140.64285714284</v>
      </c>
      <c r="P10" s="398">
        <f>'C-SH-7A VenCombustbEstSer,99-21'!P10/42</f>
        <v>444452.85714285716</v>
      </c>
      <c r="Q10" s="398">
        <f>'C-SH-7A VenCombustbEstSer,99-21'!Q10/42</f>
        <v>431840</v>
      </c>
      <c r="R10" s="398">
        <f>'C-SH-7A VenCombustbEstSer,99-21'!R10/42</f>
        <v>466478.60119047621</v>
      </c>
      <c r="S10" s="398">
        <f>'C-SH-7A VenCombustbEstSer,99-21'!S10/42</f>
        <v>531835</v>
      </c>
      <c r="T10" s="398">
        <f>'C-SH-7A VenCombustbEstSer,99-21'!T10/42</f>
        <v>607356.08452380949</v>
      </c>
      <c r="U10" s="398">
        <f>'C-SH-7A VenCombustbEstSer,99-21'!U10/42</f>
        <v>625071.78571428568</v>
      </c>
      <c r="V10" s="398">
        <f>'C-SH-7A VenCombustbEstSer,99-21'!V10/42</f>
        <v>668989.65809523815</v>
      </c>
      <c r="W10" s="398">
        <f>'C-SH-7A VenCombustbEstSer,99-21'!W10/42</f>
        <v>647993.07142857148</v>
      </c>
      <c r="X10" s="398">
        <f>'C-SH-7A VenCombustbEstSer,99-21'!X10/42</f>
        <v>468847.88690476189</v>
      </c>
      <c r="Y10" s="398">
        <f>'C-SH-7A VenCombustbEstSer,99-21'!Y10/42</f>
        <v>624664.28333333333</v>
      </c>
      <c r="Z10" s="175">
        <f t="shared" si="0"/>
        <v>3.5808006034611491E-2</v>
      </c>
      <c r="AA10" s="79"/>
      <c r="AB10" s="79"/>
      <c r="AC10" s="80"/>
      <c r="AF10" s="13"/>
    </row>
    <row r="11" spans="2:35" ht="15" customHeight="1" x14ac:dyDescent="0.25">
      <c r="B11" s="555" t="s">
        <v>115</v>
      </c>
      <c r="C11" s="399">
        <f>SUM(C8:C10)</f>
        <v>787946.57142857136</v>
      </c>
      <c r="D11" s="400">
        <f>SUM(D8:D10)</f>
        <v>806424.95238095243</v>
      </c>
      <c r="E11" s="401">
        <f>SUM(E8:E10)</f>
        <v>774827.30952380947</v>
      </c>
      <c r="F11" s="401">
        <f>SUM(F8:F10)</f>
        <v>803698.28571428568</v>
      </c>
      <c r="G11" s="401">
        <f t="shared" ref="G11:S11" si="1">+G8+G9+G10</f>
        <v>763245.59523809527</v>
      </c>
      <c r="H11" s="401">
        <f t="shared" si="1"/>
        <v>809294.04761904757</v>
      </c>
      <c r="I11" s="401">
        <f t="shared" si="1"/>
        <v>801476.48904761905</v>
      </c>
      <c r="J11" s="401">
        <f t="shared" si="1"/>
        <v>811177.28571428568</v>
      </c>
      <c r="K11" s="401">
        <f t="shared" si="1"/>
        <v>904612.30952380947</v>
      </c>
      <c r="L11" s="401">
        <f t="shared" si="1"/>
        <v>941921.30952380958</v>
      </c>
      <c r="M11" s="401">
        <f t="shared" si="1"/>
        <v>1090845.4523809524</v>
      </c>
      <c r="N11" s="401">
        <f t="shared" si="1"/>
        <v>1137969.5</v>
      </c>
      <c r="O11" s="401">
        <f t="shared" si="1"/>
        <v>1204197</v>
      </c>
      <c r="P11" s="401">
        <f t="shared" si="1"/>
        <v>1277316.5476190476</v>
      </c>
      <c r="Q11" s="401">
        <f t="shared" si="1"/>
        <v>1265067.8809523811</v>
      </c>
      <c r="R11" s="401">
        <f t="shared" si="1"/>
        <v>1381853.9595238096</v>
      </c>
      <c r="S11" s="401">
        <f t="shared" si="1"/>
        <v>1526739.2142857143</v>
      </c>
      <c r="T11" s="401">
        <f t="shared" ref="T11" si="2">+T8+T9+T10</f>
        <v>1700641.2533333334</v>
      </c>
      <c r="U11" s="401">
        <f t="shared" ref="U11:V11" si="3">+U8+U9+U10</f>
        <v>1746552.3926190475</v>
      </c>
      <c r="V11" s="401">
        <f t="shared" si="3"/>
        <v>1786040.9100000001</v>
      </c>
      <c r="W11" s="401">
        <f t="shared" ref="W11:X11" si="4">+W8+W9+W10</f>
        <v>1878663.4761904762</v>
      </c>
      <c r="X11" s="401">
        <f t="shared" si="4"/>
        <v>1730464.0000000002</v>
      </c>
      <c r="Y11" s="401">
        <f t="shared" ref="Y11" si="5">+Y8+Y9+Y10</f>
        <v>1514155.3754761904</v>
      </c>
      <c r="Z11" s="687">
        <f t="shared" si="0"/>
        <v>3.0135272247338776E-2</v>
      </c>
      <c r="AA11" s="81"/>
      <c r="AB11" s="91"/>
      <c r="AC11" s="82"/>
      <c r="AF11" s="13"/>
    </row>
    <row r="12" spans="2:35" ht="15" customHeight="1" x14ac:dyDescent="0.25">
      <c r="B12" s="554"/>
      <c r="C12" s="396"/>
      <c r="D12" s="397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810"/>
      <c r="AA12" s="79"/>
      <c r="AB12" s="79"/>
      <c r="AC12" s="80"/>
      <c r="AF12" s="13"/>
    </row>
    <row r="13" spans="2:35" ht="15" customHeight="1" x14ac:dyDescent="0.25">
      <c r="B13" s="554" t="s">
        <v>89</v>
      </c>
      <c r="C13" s="396">
        <f>'C-SH-7A VenCombustbEstSer,99-21'!C13/42</f>
        <v>276198.47619047621</v>
      </c>
      <c r="D13" s="397">
        <f>'C-SH-7A VenCombustbEstSer,99-21'!D13/42</f>
        <v>257054.69047619047</v>
      </c>
      <c r="E13" s="398">
        <f>'C-SH-7A VenCombustbEstSer,99-21'!E13/42</f>
        <v>262777.57142857142</v>
      </c>
      <c r="F13" s="398">
        <f>'C-SH-7A VenCombustbEstSer,99-21'!F13/42</f>
        <v>260679.76190476189</v>
      </c>
      <c r="G13" s="398">
        <f>'C-SH-7A VenCombustbEstSer,99-21'!G13/42</f>
        <v>267376.71428571426</v>
      </c>
      <c r="H13" s="398">
        <f>'C-SH-7A VenCombustbEstSer,99-21'!H13/42</f>
        <v>280787.16666666669</v>
      </c>
      <c r="I13" s="398">
        <f>'C-SH-7A VenCombustbEstSer,99-21'!I13/42</f>
        <v>262571.38166666665</v>
      </c>
      <c r="J13" s="398">
        <f>'C-SH-7A VenCombustbEstSer,99-21'!J13/42</f>
        <v>256960.14285714287</v>
      </c>
      <c r="K13" s="398">
        <f>'C-SH-7A VenCombustbEstSer,99-21'!K13/42</f>
        <v>292997.35714285716</v>
      </c>
      <c r="L13" s="398">
        <f>'C-SH-7A VenCombustbEstSer,99-21'!L13/42</f>
        <v>323450.73809523811</v>
      </c>
      <c r="M13" s="398">
        <f>'C-SH-7A VenCombustbEstSer,99-21'!M13/42</f>
        <v>379102.57142857142</v>
      </c>
      <c r="N13" s="398">
        <f>'C-SH-7A VenCombustbEstSer,99-21'!N13/42</f>
        <v>395385.21428571426</v>
      </c>
      <c r="O13" s="398">
        <f>'C-SH-7A VenCombustbEstSer,99-21'!O13/42</f>
        <v>405387.64285714284</v>
      </c>
      <c r="P13" s="398">
        <f>'C-SH-7A VenCombustbEstSer,99-21'!P13/42</f>
        <v>399771.5</v>
      </c>
      <c r="Q13" s="398">
        <f>'C-SH-7A VenCombustbEstSer,99-21'!Q13/42</f>
        <v>437457.11904761905</v>
      </c>
      <c r="R13" s="398">
        <f>'C-SH-7A VenCombustbEstSer,99-21'!R13/42</f>
        <v>491058.10000000009</v>
      </c>
      <c r="S13" s="398">
        <f>'C-SH-7A VenCombustbEstSer,99-21'!S13/42</f>
        <v>537973.78571428568</v>
      </c>
      <c r="T13" s="398">
        <f>'C-SH-7A VenCombustbEstSer,99-21'!T13/42</f>
        <v>585459.54761904757</v>
      </c>
      <c r="U13" s="398">
        <f>'C-SH-7A VenCombustbEstSer,99-21'!U13/42</f>
        <v>602060.93095238099</v>
      </c>
      <c r="V13" s="398">
        <f>'C-SH-7A VenCombustbEstSer,99-21'!V13/42</f>
        <v>602585.11428571434</v>
      </c>
      <c r="W13" s="398">
        <f>'C-SH-7A VenCombustbEstSer,99-21'!W13/42</f>
        <v>651990.75357142859</v>
      </c>
      <c r="X13" s="398">
        <f>'C-SH-7A VenCombustbEstSer,99-21'!X13/42</f>
        <v>212550.25666666668</v>
      </c>
      <c r="Y13" s="398">
        <f>'C-SH-7A VenCombustbEstSer,99-21'!Y13/42</f>
        <v>598091.27619047614</v>
      </c>
      <c r="Z13" s="175">
        <f>RATE(22,,C13,-Y13)</f>
        <v>3.5743221071669239E-2</v>
      </c>
      <c r="AA13" s="79"/>
      <c r="AB13" s="79"/>
      <c r="AC13" s="80"/>
      <c r="AF13" s="13"/>
    </row>
    <row r="14" spans="2:35" ht="15" customHeight="1" x14ac:dyDescent="0.25">
      <c r="B14" s="554" t="s">
        <v>90</v>
      </c>
      <c r="C14" s="396">
        <f>'C-SH-7A VenCombustbEstSer,99-21'!C14/42</f>
        <v>256819.28571428571</v>
      </c>
      <c r="D14" s="397">
        <f>'C-SH-7A VenCombustbEstSer,99-21'!D14/42</f>
        <v>265680.90476190473</v>
      </c>
      <c r="E14" s="398">
        <f>'C-SH-7A VenCombustbEstSer,99-21'!E14/42</f>
        <v>250039.97619047618</v>
      </c>
      <c r="F14" s="398">
        <f>'C-SH-7A VenCombustbEstSer,99-21'!F14/42</f>
        <v>274213.33333333331</v>
      </c>
      <c r="G14" s="398">
        <f>'C-SH-7A VenCombustbEstSer,99-21'!G14/42</f>
        <v>266744.11904761905</v>
      </c>
      <c r="H14" s="398">
        <f>'C-SH-7A VenCombustbEstSer,99-21'!H14/42</f>
        <v>251234.30952380953</v>
      </c>
      <c r="I14" s="398">
        <f>'C-SH-7A VenCombustbEstSer,99-21'!I14/42</f>
        <v>280294.98904761905</v>
      </c>
      <c r="J14" s="398">
        <f>'C-SH-7A VenCombustbEstSer,99-21'!J14/42</f>
        <v>259962.64285714287</v>
      </c>
      <c r="K14" s="398">
        <f>'C-SH-7A VenCombustbEstSer,99-21'!K14/42</f>
        <v>304297.64285714284</v>
      </c>
      <c r="L14" s="398">
        <f>'C-SH-7A VenCombustbEstSer,99-21'!L14/42</f>
        <v>311195.71428571426</v>
      </c>
      <c r="M14" s="398">
        <f>'C-SH-7A VenCombustbEstSer,99-21'!M14/42</f>
        <v>368347.57142857142</v>
      </c>
      <c r="N14" s="398">
        <f>'C-SH-7A VenCombustbEstSer,99-21'!N14/42</f>
        <v>380989.30952380953</v>
      </c>
      <c r="O14" s="398">
        <f>'C-SH-7A VenCombustbEstSer,99-21'!O14/42</f>
        <v>393848.57142857142</v>
      </c>
      <c r="P14" s="398">
        <f>'C-SH-7A VenCombustbEstSer,99-21'!P14/42</f>
        <v>436464.73809523811</v>
      </c>
      <c r="Q14" s="398">
        <f>'C-SH-7A VenCombustbEstSer,99-21'!Q14/42</f>
        <v>458511.92857142858</v>
      </c>
      <c r="R14" s="398">
        <f>'C-SH-7A VenCombustbEstSer,99-21'!R14/42</f>
        <v>476932.72738095233</v>
      </c>
      <c r="S14" s="398">
        <f>'C-SH-7A VenCombustbEstSer,99-21'!S14/42</f>
        <v>516173.40476190473</v>
      </c>
      <c r="T14" s="398">
        <f>'C-SH-7A VenCombustbEstSer,99-21'!T14/42</f>
        <v>569441.78523809521</v>
      </c>
      <c r="U14" s="398">
        <f>'C-SH-7A VenCombustbEstSer,99-21'!U14/42</f>
        <v>618164.22214285715</v>
      </c>
      <c r="V14" s="398">
        <f>'C-SH-7A VenCombustbEstSer,99-21'!V14/42</f>
        <v>610519.54142857145</v>
      </c>
      <c r="W14" s="398">
        <f>'C-SH-7A VenCombustbEstSer,99-21'!W14/42</f>
        <v>639477.90476190473</v>
      </c>
      <c r="X14" s="398">
        <f>'C-SH-7A VenCombustbEstSer,99-21'!X14/42</f>
        <v>268727.29047619045</v>
      </c>
      <c r="Y14" s="398">
        <f>'C-SH-7A VenCombustbEstSer,99-21'!Y14/42</f>
        <v>603929.95738095243</v>
      </c>
      <c r="Z14" s="175">
        <f t="shared" ref="Z14:Z16" si="6">RATE(22,,C14,-Y14)</f>
        <v>3.9632749532194575E-2</v>
      </c>
      <c r="AA14" s="79"/>
      <c r="AB14" s="79"/>
      <c r="AC14" s="80"/>
      <c r="AF14" s="13"/>
    </row>
    <row r="15" spans="2:35" ht="15" customHeight="1" x14ac:dyDescent="0.25">
      <c r="B15" s="554" t="s">
        <v>91</v>
      </c>
      <c r="C15" s="396">
        <f>'C-SH-7A VenCombustbEstSer,99-21'!C15/42</f>
        <v>261690.19047619047</v>
      </c>
      <c r="D15" s="397">
        <f>'C-SH-7A VenCombustbEstSer,99-21'!D15/42</f>
        <v>266487.23809523811</v>
      </c>
      <c r="E15" s="398">
        <f>'C-SH-7A VenCombustbEstSer,99-21'!E15/42</f>
        <v>259057.80952380953</v>
      </c>
      <c r="F15" s="398">
        <f>'C-SH-7A VenCombustbEstSer,99-21'!F15/42</f>
        <v>251330.23809523811</v>
      </c>
      <c r="G15" s="398">
        <f>'C-SH-7A VenCombustbEstSer,99-21'!G15/42</f>
        <v>253765.45238095237</v>
      </c>
      <c r="H15" s="398">
        <f>'C-SH-7A VenCombustbEstSer,99-21'!H15/42</f>
        <v>259769.52380952382</v>
      </c>
      <c r="I15" s="398">
        <f>'C-SH-7A VenCombustbEstSer,99-21'!I15/42</f>
        <v>259983.73666666666</v>
      </c>
      <c r="J15" s="398">
        <f>'C-SH-7A VenCombustbEstSer,99-21'!J15/42</f>
        <v>264991.16666666669</v>
      </c>
      <c r="K15" s="398">
        <f>'C-SH-7A VenCombustbEstSer,99-21'!K15/42</f>
        <v>293359.23809523811</v>
      </c>
      <c r="L15" s="398">
        <f>'C-SH-7A VenCombustbEstSer,99-21'!L15/42</f>
        <v>287406.57142857142</v>
      </c>
      <c r="M15" s="398">
        <f>'C-SH-7A VenCombustbEstSer,99-21'!M15/42</f>
        <v>345854.90476190473</v>
      </c>
      <c r="N15" s="398">
        <f>'C-SH-7A VenCombustbEstSer,99-21'!N15/42</f>
        <v>397142.09523809527</v>
      </c>
      <c r="O15" s="398">
        <f>'C-SH-7A VenCombustbEstSer,99-21'!O15/42</f>
        <v>410169.19047619047</v>
      </c>
      <c r="P15" s="398">
        <f>'C-SH-7A VenCombustbEstSer,99-21'!P15/42</f>
        <v>425973.21428571426</v>
      </c>
      <c r="Q15" s="398">
        <f>'C-SH-7A VenCombustbEstSer,99-21'!Q15/42</f>
        <v>415742.09523809527</v>
      </c>
      <c r="R15" s="398">
        <f>'C-SH-7A VenCombustbEstSer,99-21'!R15/42</f>
        <v>451377.92000000004</v>
      </c>
      <c r="S15" s="398">
        <f>'C-SH-7A VenCombustbEstSer,99-21'!S15/42</f>
        <v>518356.09523809527</v>
      </c>
      <c r="T15" s="398">
        <f>'C-SH-7A VenCombustbEstSer,99-21'!T15/42</f>
        <v>556837.93761904771</v>
      </c>
      <c r="U15" s="398">
        <f>'C-SH-7A VenCombustbEstSer,99-21'!U15/42</f>
        <v>592317.58904761914</v>
      </c>
      <c r="V15" s="398">
        <f>'C-SH-7A VenCombustbEstSer,99-21'!V15/42</f>
        <v>592589.85499999998</v>
      </c>
      <c r="W15" s="398">
        <f>'C-SH-7A VenCombustbEstSer,99-21'!W15/42</f>
        <v>627886.92857142852</v>
      </c>
      <c r="X15" s="398">
        <f>'C-SH-7A VenCombustbEstSer,99-21'!X15/42</f>
        <v>373492.29285714286</v>
      </c>
      <c r="Y15" s="398">
        <f>'C-SH-7A VenCombustbEstSer,99-21'!Y15/42</f>
        <v>600827.04761904757</v>
      </c>
      <c r="Z15" s="175">
        <f t="shared" si="6"/>
        <v>3.8502066543637394E-2</v>
      </c>
      <c r="AA15" s="79"/>
      <c r="AB15" s="79"/>
      <c r="AC15" s="80"/>
      <c r="AF15" s="13"/>
    </row>
    <row r="16" spans="2:35" ht="15" customHeight="1" x14ac:dyDescent="0.25">
      <c r="B16" s="555" t="s">
        <v>116</v>
      </c>
      <c r="C16" s="399">
        <f>SUM(C13:C15)</f>
        <v>794707.95238095243</v>
      </c>
      <c r="D16" s="400">
        <f>SUM(D13:D15)</f>
        <v>789222.83333333326</v>
      </c>
      <c r="E16" s="401">
        <f>SUM(E13:E15)</f>
        <v>771875.35714285704</v>
      </c>
      <c r="F16" s="401">
        <f>SUM(F13:F15)</f>
        <v>786223.33333333326</v>
      </c>
      <c r="G16" s="401">
        <f t="shared" ref="G16:S16" si="7">+G13+G14+G15</f>
        <v>787886.28571428568</v>
      </c>
      <c r="H16" s="401">
        <f t="shared" si="7"/>
        <v>791791</v>
      </c>
      <c r="I16" s="401">
        <f t="shared" si="7"/>
        <v>802850.10738095234</v>
      </c>
      <c r="J16" s="401">
        <f t="shared" si="7"/>
        <v>781913.95238095243</v>
      </c>
      <c r="K16" s="401">
        <f t="shared" si="7"/>
        <v>890654.23809523811</v>
      </c>
      <c r="L16" s="401">
        <f t="shared" si="7"/>
        <v>922053.02380952379</v>
      </c>
      <c r="M16" s="401">
        <f t="shared" si="7"/>
        <v>1093305.0476190476</v>
      </c>
      <c r="N16" s="401">
        <f t="shared" si="7"/>
        <v>1173516.6190476189</v>
      </c>
      <c r="O16" s="401">
        <f t="shared" si="7"/>
        <v>1209405.4047619049</v>
      </c>
      <c r="P16" s="401">
        <f t="shared" si="7"/>
        <v>1262209.4523809524</v>
      </c>
      <c r="Q16" s="401">
        <f t="shared" si="7"/>
        <v>1311711.1428571427</v>
      </c>
      <c r="R16" s="401">
        <f t="shared" si="7"/>
        <v>1419368.7473809524</v>
      </c>
      <c r="S16" s="401">
        <f t="shared" si="7"/>
        <v>1572503.2857142854</v>
      </c>
      <c r="T16" s="401">
        <f t="shared" ref="T16" si="8">+T13+T14+T15</f>
        <v>1711739.2704761904</v>
      </c>
      <c r="U16" s="401">
        <f t="shared" ref="U16:V16" si="9">+U13+U14+U15</f>
        <v>1812542.7421428573</v>
      </c>
      <c r="V16" s="401">
        <f t="shared" si="9"/>
        <v>1805694.5107142858</v>
      </c>
      <c r="W16" s="401">
        <f t="shared" ref="W16:X16" si="10">+W13+W14+W15</f>
        <v>1919355.5869047618</v>
      </c>
      <c r="X16" s="401">
        <f t="shared" si="10"/>
        <v>854769.84</v>
      </c>
      <c r="Y16" s="401">
        <f t="shared" ref="Y16" si="11">+Y13+Y14+Y15</f>
        <v>1802848.2811904761</v>
      </c>
      <c r="Z16" s="687">
        <f t="shared" si="6"/>
        <v>3.7935887345884947E-2</v>
      </c>
      <c r="AA16" s="81"/>
      <c r="AB16" s="81"/>
      <c r="AC16" s="82"/>
      <c r="AF16" s="13"/>
    </row>
    <row r="17" spans="2:32" ht="15" customHeight="1" x14ac:dyDescent="0.25">
      <c r="B17" s="554"/>
      <c r="C17" s="396"/>
      <c r="D17" s="397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176"/>
      <c r="AA17" s="79"/>
      <c r="AB17" s="79"/>
      <c r="AC17" s="80"/>
      <c r="AF17" s="13"/>
    </row>
    <row r="18" spans="2:32" ht="15" customHeight="1" x14ac:dyDescent="0.25">
      <c r="B18" s="554" t="s">
        <v>93</v>
      </c>
      <c r="C18" s="396">
        <f>'C-SH-7A VenCombustbEstSer,99-21'!C18/42</f>
        <v>269138.28571428574</v>
      </c>
      <c r="D18" s="397">
        <f>'C-SH-7A VenCombustbEstSer,99-21'!D18/42</f>
        <v>252842.21428571429</v>
      </c>
      <c r="E18" s="398">
        <f>'C-SH-7A VenCombustbEstSer,99-21'!E18/42</f>
        <v>260241.02380952382</v>
      </c>
      <c r="F18" s="398">
        <f>'C-SH-7A VenCombustbEstSer,99-21'!F18/42</f>
        <v>272180.19047619047</v>
      </c>
      <c r="G18" s="398">
        <f>'C-SH-7A VenCombustbEstSer,99-21'!G18/42</f>
        <v>271252.42857142858</v>
      </c>
      <c r="H18" s="398">
        <f>'C-SH-7A VenCombustbEstSer,99-21'!H18/42</f>
        <v>272700.16666666669</v>
      </c>
      <c r="I18" s="398">
        <f>'C-SH-7A VenCombustbEstSer,99-21'!I18/42</f>
        <v>268568.3919047619</v>
      </c>
      <c r="J18" s="398">
        <f>'C-SH-7A VenCombustbEstSer,99-21'!J18/42</f>
        <v>266894.35714285716</v>
      </c>
      <c r="K18" s="398">
        <f>'C-SH-7A VenCombustbEstSer,99-21'!K18/42</f>
        <v>305131.45238095237</v>
      </c>
      <c r="L18" s="398">
        <f>'C-SH-7A VenCombustbEstSer,99-21'!L18/42</f>
        <v>313524.59523809527</v>
      </c>
      <c r="M18" s="398">
        <f>'C-SH-7A VenCombustbEstSer,99-21'!M18/42</f>
        <v>397772.64285714284</v>
      </c>
      <c r="N18" s="398">
        <f>'C-SH-7A VenCombustbEstSer,99-21'!N18/42</f>
        <v>403648.07142857142</v>
      </c>
      <c r="O18" s="398">
        <f>'C-SH-7A VenCombustbEstSer,99-21'!O18/42</f>
        <v>410913.47619047621</v>
      </c>
      <c r="P18" s="398">
        <f>'C-SH-7A VenCombustbEstSer,99-21'!P18/42</f>
        <v>439938.28571428574</v>
      </c>
      <c r="Q18" s="398">
        <f>'C-SH-7A VenCombustbEstSer,99-21'!Q18/42</f>
        <v>457852.38095238095</v>
      </c>
      <c r="R18" s="398">
        <f>'C-SH-7A VenCombustbEstSer,99-21'!R18/42</f>
        <v>473303.83833333326</v>
      </c>
      <c r="S18" s="398">
        <f>'C-SH-7A VenCombustbEstSer,99-21'!S18/42</f>
        <v>542696.09523809527</v>
      </c>
      <c r="T18" s="398">
        <f>'C-SH-7A VenCombustbEstSer,99-21'!T18/42</f>
        <v>580307.29547619051</v>
      </c>
      <c r="U18" s="398">
        <f>'C-SH-7A VenCombustbEstSer,99-21'!U18/42</f>
        <v>605686.98690476199</v>
      </c>
      <c r="V18" s="398">
        <f>'C-SH-7A VenCombustbEstSer,99-21'!V18/42</f>
        <v>594442.42500000005</v>
      </c>
      <c r="W18" s="398">
        <f>'C-SH-7A VenCombustbEstSer,99-21'!W18/42</f>
        <v>634852.88095238095</v>
      </c>
      <c r="X18" s="398">
        <f>'C-SH-7A VenCombustbEstSer,99-21'!X18/42</f>
        <v>382991.75261904759</v>
      </c>
      <c r="Y18" s="398">
        <f>'C-SH-7A VenCombustbEstSer,99-21'!Y18/42</f>
        <v>594000.60952380951</v>
      </c>
      <c r="Z18" s="175">
        <f>RATE(22,,C18,-Y18)</f>
        <v>3.6639591133645066E-2</v>
      </c>
      <c r="AA18" s="79"/>
      <c r="AB18" s="79"/>
      <c r="AC18" s="80"/>
      <c r="AF18" s="13"/>
    </row>
    <row r="19" spans="2:32" ht="15" customHeight="1" x14ac:dyDescent="0.25">
      <c r="B19" s="554" t="s">
        <v>94</v>
      </c>
      <c r="C19" s="396">
        <f>'C-SH-7A VenCombustbEstSer,99-21'!C19/42</f>
        <v>274036.21428571426</v>
      </c>
      <c r="D19" s="397">
        <f>'C-SH-7A VenCombustbEstSer,99-21'!D19/42</f>
        <v>268763.35714285716</v>
      </c>
      <c r="E19" s="398">
        <f>'C-SH-7A VenCombustbEstSer,99-21'!E19/42</f>
        <v>270941.23809523811</v>
      </c>
      <c r="F19" s="398">
        <f>'C-SH-7A VenCombustbEstSer,99-21'!F19/42</f>
        <v>270022.92857142858</v>
      </c>
      <c r="G19" s="398">
        <f>'C-SH-7A VenCombustbEstSer,99-21'!G19/42</f>
        <v>268794.16666666669</v>
      </c>
      <c r="H19" s="398">
        <f>'C-SH-7A VenCombustbEstSer,99-21'!H19/42</f>
        <v>271400.35714285716</v>
      </c>
      <c r="I19" s="398">
        <f>'C-SH-7A VenCombustbEstSer,99-21'!I19/42</f>
        <v>267913.8411904762</v>
      </c>
      <c r="J19" s="398">
        <f>'C-SH-7A VenCombustbEstSer,99-21'!J19/42</f>
        <v>274538.23809523811</v>
      </c>
      <c r="K19" s="398">
        <f>'C-SH-7A VenCombustbEstSer,99-21'!K19/42</f>
        <v>314851.61904761905</v>
      </c>
      <c r="L19" s="398">
        <f>'C-SH-7A VenCombustbEstSer,99-21'!L19/42</f>
        <v>303833.45238095237</v>
      </c>
      <c r="M19" s="398">
        <f>'C-SH-7A VenCombustbEstSer,99-21'!M19/42</f>
        <v>361486.64285714284</v>
      </c>
      <c r="N19" s="398">
        <f>'C-SH-7A VenCombustbEstSer,99-21'!N19/42</f>
        <v>404901.30952380953</v>
      </c>
      <c r="O19" s="398">
        <f>'C-SH-7A VenCombustbEstSer,99-21'!O19/42</f>
        <v>427452.09523809527</v>
      </c>
      <c r="P19" s="398">
        <f>'C-SH-7A VenCombustbEstSer,99-21'!P19/42</f>
        <v>446060.26190476189</v>
      </c>
      <c r="Q19" s="398">
        <f>'C-SH-7A VenCombustbEstSer,99-21'!Q19/42</f>
        <v>454099.76190476189</v>
      </c>
      <c r="R19" s="398">
        <f>'C-SH-7A VenCombustbEstSer,99-21'!R19/42</f>
        <v>486389.47547619045</v>
      </c>
      <c r="S19" s="398">
        <f>'C-SH-7A VenCombustbEstSer,99-21'!S19/42</f>
        <v>544783.07142857148</v>
      </c>
      <c r="T19" s="398">
        <f>'C-SH-7A VenCombustbEstSer,99-21'!T19/42</f>
        <v>622319.07642857148</v>
      </c>
      <c r="U19" s="398">
        <f>'C-SH-7A VenCombustbEstSer,99-21'!U19/42</f>
        <v>614334.28571428568</v>
      </c>
      <c r="V19" s="398">
        <f>'C-SH-7A VenCombustbEstSer,99-21'!V19/42</f>
        <v>628507.76809523802</v>
      </c>
      <c r="W19" s="398">
        <f>'C-SH-7A VenCombustbEstSer,99-21'!W19/42</f>
        <v>683060.47619047621</v>
      </c>
      <c r="X19" s="398">
        <f>'C-SH-7A VenCombustbEstSer,99-21'!X19/42</f>
        <v>405878.71142857138</v>
      </c>
      <c r="Y19" s="398">
        <f>'C-SH-7A VenCombustbEstSer,99-21'!Y19/42</f>
        <v>618078.99285714293</v>
      </c>
      <c r="Z19" s="175">
        <f t="shared" ref="Z19:Z21" si="12">RATE(22,,C19,-Y19)</f>
        <v>3.7662645313140043E-2</v>
      </c>
      <c r="AA19" s="79"/>
      <c r="AB19" s="79"/>
      <c r="AC19" s="80"/>
      <c r="AF19" s="13"/>
    </row>
    <row r="20" spans="2:32" ht="15" customHeight="1" x14ac:dyDescent="0.25">
      <c r="B20" s="554" t="s">
        <v>101</v>
      </c>
      <c r="C20" s="396">
        <f>'C-SH-7A VenCombustbEstSer,99-21'!C20/42</f>
        <v>256877.64285714287</v>
      </c>
      <c r="D20" s="397">
        <f>'C-SH-7A VenCombustbEstSer,99-21'!D20/42</f>
        <v>259176.16666666666</v>
      </c>
      <c r="E20" s="398">
        <f>'C-SH-7A VenCombustbEstSer,99-21'!E20/42</f>
        <v>236995.66666666666</v>
      </c>
      <c r="F20" s="398">
        <f>'C-SH-7A VenCombustbEstSer,99-21'!F20/42</f>
        <v>261848.47619047618</v>
      </c>
      <c r="G20" s="398">
        <f>'C-SH-7A VenCombustbEstSer,99-21'!G20/42</f>
        <v>261378.66666666666</v>
      </c>
      <c r="H20" s="398">
        <f>'C-SH-7A VenCombustbEstSer,99-21'!H20/42</f>
        <v>265018.85714285716</v>
      </c>
      <c r="I20" s="398">
        <f>'C-SH-7A VenCombustbEstSer,99-21'!I20/42</f>
        <v>259382.81047619047</v>
      </c>
      <c r="J20" s="398">
        <f>'C-SH-7A VenCombustbEstSer,99-21'!J20/42</f>
        <v>265736.73809523811</v>
      </c>
      <c r="K20" s="398">
        <f>'C-SH-7A VenCombustbEstSer,99-21'!K20/42</f>
        <v>300418.80952380953</v>
      </c>
      <c r="L20" s="398">
        <f>'C-SH-7A VenCombustbEstSer,99-21'!L20/42</f>
        <v>316600.21428571426</v>
      </c>
      <c r="M20" s="398">
        <f>'C-SH-7A VenCombustbEstSer,99-21'!M20/42</f>
        <v>353088.19047619047</v>
      </c>
      <c r="N20" s="398">
        <f>'C-SH-7A VenCombustbEstSer,99-21'!N20/42</f>
        <v>398099.78571428574</v>
      </c>
      <c r="O20" s="398">
        <f>'C-SH-7A VenCombustbEstSer,99-21'!O20/42</f>
        <v>404759.45238095237</v>
      </c>
      <c r="P20" s="398">
        <f>'C-SH-7A VenCombustbEstSer,99-21'!P20/42</f>
        <v>402477.33333333331</v>
      </c>
      <c r="Q20" s="398">
        <f>'C-SH-7A VenCombustbEstSer,99-21'!Q20/42</f>
        <v>425909.14285714284</v>
      </c>
      <c r="R20" s="398">
        <f>'C-SH-7A VenCombustbEstSer,99-21'!R20/42</f>
        <v>471226.10238095233</v>
      </c>
      <c r="S20" s="398">
        <f>'C-SH-7A VenCombustbEstSer,99-21'!S20/42</f>
        <v>542192.95238095243</v>
      </c>
      <c r="T20" s="398">
        <f>'C-SH-7A VenCombustbEstSer,99-21'!T20/42</f>
        <v>573795.22166666668</v>
      </c>
      <c r="U20" s="398">
        <f>'C-SH-7A VenCombustbEstSer,99-21'!U20/42</f>
        <v>598787.5</v>
      </c>
      <c r="V20" s="398">
        <f>'C-SH-7A VenCombustbEstSer,99-21'!V20/42</f>
        <v>584381.51023809519</v>
      </c>
      <c r="W20" s="398">
        <f>'C-SH-7A VenCombustbEstSer,99-21'!W20/42</f>
        <v>628185.02380952379</v>
      </c>
      <c r="X20" s="398">
        <f>'C-SH-7A VenCombustbEstSer,99-21'!X20/42</f>
        <v>465625.04309523816</v>
      </c>
      <c r="Y20" s="398">
        <f>'C-SH-7A VenCombustbEstSer,99-21'!Y20/42</f>
        <v>619642.94999999995</v>
      </c>
      <c r="Z20" s="175">
        <f t="shared" si="12"/>
        <v>4.0836489697112364E-2</v>
      </c>
      <c r="AA20" s="79"/>
      <c r="AB20" s="79"/>
      <c r="AC20" s="80"/>
      <c r="AF20" s="13"/>
    </row>
    <row r="21" spans="2:32" ht="15" customHeight="1" x14ac:dyDescent="0.25">
      <c r="B21" s="555" t="s">
        <v>117</v>
      </c>
      <c r="C21" s="399">
        <f>SUM(C18:C20)</f>
        <v>800052.14285714284</v>
      </c>
      <c r="D21" s="400">
        <f>SUM(D18:D20)</f>
        <v>780781.73809523811</v>
      </c>
      <c r="E21" s="401">
        <f>SUM(E18:E20)</f>
        <v>768177.92857142852</v>
      </c>
      <c r="F21" s="401">
        <f>SUM(F18:F20)</f>
        <v>804051.59523809527</v>
      </c>
      <c r="G21" s="401">
        <f t="shared" ref="G21:S21" si="13">+G18+G19+G20</f>
        <v>801425.26190476189</v>
      </c>
      <c r="H21" s="401">
        <f t="shared" si="13"/>
        <v>809119.38095238095</v>
      </c>
      <c r="I21" s="401">
        <f t="shared" si="13"/>
        <v>795865.04357142863</v>
      </c>
      <c r="J21" s="401">
        <f t="shared" si="13"/>
        <v>807169.33333333337</v>
      </c>
      <c r="K21" s="401">
        <f t="shared" si="13"/>
        <v>920401.88095238083</v>
      </c>
      <c r="L21" s="401">
        <f t="shared" si="13"/>
        <v>933958.26190476189</v>
      </c>
      <c r="M21" s="401">
        <f t="shared" si="13"/>
        <v>1112347.4761904762</v>
      </c>
      <c r="N21" s="401">
        <f t="shared" si="13"/>
        <v>1206649.1666666667</v>
      </c>
      <c r="O21" s="401">
        <f t="shared" si="13"/>
        <v>1243125.0238095238</v>
      </c>
      <c r="P21" s="401">
        <f t="shared" si="13"/>
        <v>1288475.8809523808</v>
      </c>
      <c r="Q21" s="401">
        <f t="shared" si="13"/>
        <v>1337861.2857142857</v>
      </c>
      <c r="R21" s="401">
        <f t="shared" si="13"/>
        <v>1430919.4161904762</v>
      </c>
      <c r="S21" s="401">
        <f t="shared" si="13"/>
        <v>1629672.1190476192</v>
      </c>
      <c r="T21" s="401">
        <f t="shared" ref="T21" si="14">+T18+T19+T20</f>
        <v>1776421.5935714287</v>
      </c>
      <c r="U21" s="401">
        <f t="shared" ref="U21:V21" si="15">+U18+U19+U20</f>
        <v>1818808.7726190477</v>
      </c>
      <c r="V21" s="401">
        <f t="shared" si="15"/>
        <v>1807331.7033333331</v>
      </c>
      <c r="W21" s="401">
        <f t="shared" ref="W21:X21" si="16">+W18+W19+W20</f>
        <v>1946098.3809523811</v>
      </c>
      <c r="X21" s="401">
        <f t="shared" si="16"/>
        <v>1254495.5071428572</v>
      </c>
      <c r="Y21" s="401">
        <f t="shared" ref="Y21" si="17">+Y18+Y19+Y20</f>
        <v>1831722.5523809523</v>
      </c>
      <c r="Z21" s="687">
        <f t="shared" si="12"/>
        <v>3.8369401217295145E-2</v>
      </c>
      <c r="AA21" s="81"/>
      <c r="AB21" s="81"/>
      <c r="AC21" s="82"/>
      <c r="AF21" s="13"/>
    </row>
    <row r="22" spans="2:32" ht="15" customHeight="1" x14ac:dyDescent="0.25">
      <c r="B22" s="554"/>
      <c r="C22" s="396"/>
      <c r="D22" s="397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176"/>
      <c r="AA22" s="79"/>
      <c r="AB22" s="79"/>
      <c r="AC22" s="80"/>
      <c r="AF22" s="13"/>
    </row>
    <row r="23" spans="2:32" ht="15" customHeight="1" x14ac:dyDescent="0.25">
      <c r="B23" s="554" t="s">
        <v>95</v>
      </c>
      <c r="C23" s="396">
        <f>'C-SH-7A VenCombustbEstSer,99-21'!C23/42</f>
        <v>259371.40476190476</v>
      </c>
      <c r="D23" s="397">
        <f>'C-SH-7A VenCombustbEstSer,99-21'!D23/42</f>
        <v>264743.16666666669</v>
      </c>
      <c r="E23" s="398">
        <f>'C-SH-7A VenCombustbEstSer,99-21'!E23/42</f>
        <v>252129.42857142858</v>
      </c>
      <c r="F23" s="398">
        <f>'C-SH-7A VenCombustbEstSer,99-21'!F23/42</f>
        <v>276796.76190476189</v>
      </c>
      <c r="G23" s="398">
        <f>'C-SH-7A VenCombustbEstSer,99-21'!G23/42</f>
        <v>286766.64285714284</v>
      </c>
      <c r="H23" s="398">
        <f>'C-SH-7A VenCombustbEstSer,99-21'!H23/42</f>
        <v>257998.28571428571</v>
      </c>
      <c r="I23" s="398">
        <f>'C-SH-7A VenCombustbEstSer,99-21'!I23/42</f>
        <v>242074.18190476191</v>
      </c>
      <c r="J23" s="398">
        <f>'C-SH-7A VenCombustbEstSer,99-21'!J23/42</f>
        <v>288492.26190476189</v>
      </c>
      <c r="K23" s="398">
        <f>'C-SH-7A VenCombustbEstSer,99-21'!K23/42</f>
        <v>342976.35714285716</v>
      </c>
      <c r="L23" s="398">
        <f>'C-SH-7A VenCombustbEstSer,99-21'!L23/42</f>
        <v>335975.85714285716</v>
      </c>
      <c r="M23" s="398">
        <f>'C-SH-7A VenCombustbEstSer,99-21'!M23/42</f>
        <v>403139.45238095237</v>
      </c>
      <c r="N23" s="398">
        <f>'C-SH-7A VenCombustbEstSer,99-21'!N23/42</f>
        <v>412853.83333333331</v>
      </c>
      <c r="O23" s="398">
        <f>'C-SH-7A VenCombustbEstSer,99-21'!O23/42</f>
        <v>421364.07142857142</v>
      </c>
      <c r="P23" s="398">
        <f>'C-SH-7A VenCombustbEstSer,99-21'!P23/42</f>
        <v>418484.80952380953</v>
      </c>
      <c r="Q23" s="398">
        <f>'C-SH-7A VenCombustbEstSer,99-21'!Q23/42</f>
        <v>462990.73809523811</v>
      </c>
      <c r="R23" s="398">
        <f>'C-SH-7A VenCombustbEstSer,99-21'!R23/42</f>
        <v>499793.48142857139</v>
      </c>
      <c r="S23" s="398">
        <f>'C-SH-7A VenCombustbEstSer,99-21'!S23/42</f>
        <v>575627.97619047621</v>
      </c>
      <c r="T23" s="398">
        <f>'C-SH-7A VenCombustbEstSer,99-21'!T23/42</f>
        <v>595346.37</v>
      </c>
      <c r="U23" s="398">
        <f>'C-SH-7A VenCombustbEstSer,99-21'!U23/42</f>
        <v>609362.45880952384</v>
      </c>
      <c r="V23" s="398">
        <f>'C-SH-7A VenCombustbEstSer,99-21'!V23/42</f>
        <v>615879.43523809523</v>
      </c>
      <c r="W23" s="398">
        <f>'C-SH-7A VenCombustbEstSer,99-21'!W23/42</f>
        <v>662221.66666666663</v>
      </c>
      <c r="X23" s="398">
        <f>'C-SH-7A VenCombustbEstSer,99-21'!X23/42</f>
        <v>550431.56380952382</v>
      </c>
      <c r="Y23" s="398">
        <f>'C-SH-7A VenCombustbEstSer,99-21'!Y23/42</f>
        <v>641113.12047619058</v>
      </c>
      <c r="Z23" s="175">
        <f>RATE(22,,C23,-Y23)</f>
        <v>4.1991575622098931E-2</v>
      </c>
      <c r="AA23" s="79"/>
      <c r="AB23" s="79"/>
      <c r="AC23" s="80"/>
      <c r="AF23" s="13"/>
    </row>
    <row r="24" spans="2:32" ht="15" customHeight="1" x14ac:dyDescent="0.25">
      <c r="B24" s="554" t="s">
        <v>96</v>
      </c>
      <c r="C24" s="396">
        <f>'C-SH-7A VenCombustbEstSer,99-21'!C24/42</f>
        <v>262081.33333333334</v>
      </c>
      <c r="D24" s="397">
        <f>'C-SH-7A VenCombustbEstSer,99-21'!D24/42</f>
        <v>250344.64285714287</v>
      </c>
      <c r="E24" s="398">
        <f>'C-SH-7A VenCombustbEstSer,99-21'!E24/42</f>
        <v>271104.97619047621</v>
      </c>
      <c r="F24" s="398">
        <f>'C-SH-7A VenCombustbEstSer,99-21'!F24/42</f>
        <v>252572.95238095237</v>
      </c>
      <c r="G24" s="398">
        <f>'C-SH-7A VenCombustbEstSer,99-21'!G24/42</f>
        <v>262299.92857142858</v>
      </c>
      <c r="H24" s="398">
        <f>'C-SH-7A VenCombustbEstSer,99-21'!H24/42</f>
        <v>256661.92857142858</v>
      </c>
      <c r="I24" s="398">
        <f>'C-SH-7A VenCombustbEstSer,99-21'!I24/42</f>
        <v>251126.07976190475</v>
      </c>
      <c r="J24" s="398">
        <f>'C-SH-7A VenCombustbEstSer,99-21'!J24/42</f>
        <v>266505.42857142858</v>
      </c>
      <c r="K24" s="398">
        <f>'C-SH-7A VenCombustbEstSer,99-21'!K24/42</f>
        <v>301821.92857142858</v>
      </c>
      <c r="L24" s="398">
        <f>'C-SH-7A VenCombustbEstSer,99-21'!L24/42</f>
        <v>318690.45238095237</v>
      </c>
      <c r="M24" s="398">
        <f>'C-SH-7A VenCombustbEstSer,99-21'!M24/42</f>
        <v>338314.14285714284</v>
      </c>
      <c r="N24" s="398">
        <f>'C-SH-7A VenCombustbEstSer,99-21'!N24/42</f>
        <v>382574.35714285716</v>
      </c>
      <c r="O24" s="398">
        <f>'C-SH-7A VenCombustbEstSer,99-21'!O24/42</f>
        <v>386085.33333333331</v>
      </c>
      <c r="P24" s="398">
        <f>'C-SH-7A VenCombustbEstSer,99-21'!P24/42</f>
        <v>432601.33333333331</v>
      </c>
      <c r="Q24" s="398">
        <f>'C-SH-7A VenCombustbEstSer,99-21'!Q24/42</f>
        <v>470572.38095238095</v>
      </c>
      <c r="R24" s="398">
        <f>'C-SH-7A VenCombustbEstSer,99-21'!R24/42</f>
        <v>468001.79</v>
      </c>
      <c r="S24" s="398">
        <f>'C-SH-7A VenCombustbEstSer,99-21'!S24/42</f>
        <v>510908.16666666669</v>
      </c>
      <c r="T24" s="398">
        <f>'C-SH-7A VenCombustbEstSer,99-21'!T24/42</f>
        <v>551335.49166666658</v>
      </c>
      <c r="U24" s="398">
        <f>'C-SH-7A VenCombustbEstSer,99-21'!U24/42</f>
        <v>582695.3530952381</v>
      </c>
      <c r="V24" s="398">
        <f>'C-SH-7A VenCombustbEstSer,99-21'!V24/42</f>
        <v>588012.02952380956</v>
      </c>
      <c r="W24" s="398">
        <f>'C-SH-7A VenCombustbEstSer,99-21'!W24/42</f>
        <v>630733.55000000005</v>
      </c>
      <c r="X24" s="398">
        <f>'C-SH-7A VenCombustbEstSer,99-21'!X24/42</f>
        <v>516194.00714285718</v>
      </c>
      <c r="Y24" s="398">
        <f>'C-SH-7A VenCombustbEstSer,99-21'!Y24/42</f>
        <v>585764.38214285718</v>
      </c>
      <c r="Z24" s="175">
        <f t="shared" ref="Z24:Z26" si="18">RATE(22,,C24,-Y24)</f>
        <v>3.7233836811567625E-2</v>
      </c>
      <c r="AA24" s="79"/>
      <c r="AB24" s="79"/>
      <c r="AC24" s="80"/>
      <c r="AF24" s="13"/>
    </row>
    <row r="25" spans="2:32" ht="15" customHeight="1" x14ac:dyDescent="0.25">
      <c r="B25" s="554" t="s">
        <v>97</v>
      </c>
      <c r="C25" s="396">
        <f>'C-SH-7A VenCombustbEstSer,99-21'!C25/42</f>
        <v>278193.42857142858</v>
      </c>
      <c r="D25" s="397">
        <f>'C-SH-7A VenCombustbEstSer,99-21'!D25/42</f>
        <v>279229.07142857142</v>
      </c>
      <c r="E25" s="398">
        <f>'C-SH-7A VenCombustbEstSer,99-21'!E25/42</f>
        <v>290781.80952380953</v>
      </c>
      <c r="F25" s="398">
        <f>'C-SH-7A VenCombustbEstSer,99-21'!F25/42</f>
        <v>288900.40476190473</v>
      </c>
      <c r="G25" s="398">
        <f>'C-SH-7A VenCombustbEstSer,99-21'!G25/42</f>
        <v>294296.42857142858</v>
      </c>
      <c r="H25" s="398">
        <f>'C-SH-7A VenCombustbEstSer,99-21'!H25/42</f>
        <v>303500.45238095237</v>
      </c>
      <c r="I25" s="398">
        <f>'C-SH-7A VenCombustbEstSer,99-21'!I25/42</f>
        <v>313325.92000000004</v>
      </c>
      <c r="J25" s="398">
        <f>'C-SH-7A VenCombustbEstSer,99-21'!J25/42</f>
        <v>318453</v>
      </c>
      <c r="K25" s="398">
        <f>'C-SH-7A VenCombustbEstSer,99-21'!K25/42</f>
        <v>338343.21428571426</v>
      </c>
      <c r="L25" s="398">
        <f>'C-SH-7A VenCombustbEstSer,99-21'!L25/42</f>
        <v>372076.33333333331</v>
      </c>
      <c r="M25" s="398">
        <f>'C-SH-7A VenCombustbEstSer,99-21'!M25/42</f>
        <v>414153.83333333331</v>
      </c>
      <c r="N25" s="398">
        <f>'C-SH-7A VenCombustbEstSer,99-21'!N25/42</f>
        <v>455463.5</v>
      </c>
      <c r="O25" s="398">
        <f>'C-SH-7A VenCombustbEstSer,99-21'!O25/42</f>
        <v>472554.90476190473</v>
      </c>
      <c r="P25" s="398">
        <f>'C-SH-7A VenCombustbEstSer,99-21'!P25/42</f>
        <v>457915.88095238095</v>
      </c>
      <c r="Q25" s="398">
        <f>'C-SH-7A VenCombustbEstSer,99-21'!Q25/42</f>
        <v>472747.76190476189</v>
      </c>
      <c r="R25" s="398">
        <f>'C-SH-7A VenCombustbEstSer,99-21'!R25/42</f>
        <v>536192.07642857148</v>
      </c>
      <c r="S25" s="398">
        <f>'C-SH-7A VenCombustbEstSer,99-21'!S25/42</f>
        <v>615875.47619047621</v>
      </c>
      <c r="T25" s="398">
        <f>'C-SH-7A VenCombustbEstSer,99-21'!T25/42</f>
        <v>630964.15523809521</v>
      </c>
      <c r="U25" s="398">
        <f>'C-SH-7A VenCombustbEstSer,99-21'!U25/42</f>
        <v>654748.72500000009</v>
      </c>
      <c r="V25" s="398">
        <f>'C-SH-7A VenCombustbEstSer,99-21'!V25/42</f>
        <v>663339.38380952377</v>
      </c>
      <c r="W25" s="398">
        <f>'C-SH-7A VenCombustbEstSer,99-21'!W25/42</f>
        <v>699466.14523809531</v>
      </c>
      <c r="X25" s="398">
        <f>'C-SH-7A VenCombustbEstSer,99-21'!X25/42</f>
        <v>574486.45666666667</v>
      </c>
      <c r="Y25" s="398">
        <f>'C-SH-7A VenCombustbEstSer,99-21'!Y25/42</f>
        <v>713503.31880952383</v>
      </c>
      <c r="Z25" s="175">
        <f t="shared" si="18"/>
        <v>4.3741958049187638E-2</v>
      </c>
      <c r="AA25" s="79"/>
      <c r="AB25" s="79"/>
      <c r="AC25" s="80"/>
      <c r="AF25" s="13"/>
    </row>
    <row r="26" spans="2:32" ht="15" customHeight="1" x14ac:dyDescent="0.25">
      <c r="B26" s="555" t="s">
        <v>118</v>
      </c>
      <c r="C26" s="399">
        <f>SUM(C23:C25)</f>
        <v>799646.16666666674</v>
      </c>
      <c r="D26" s="400">
        <f>SUM(D23:D25)</f>
        <v>794316.88095238106</v>
      </c>
      <c r="E26" s="401">
        <f>SUM(E23:E25)</f>
        <v>814016.21428571432</v>
      </c>
      <c r="F26" s="401">
        <f>SUM(F23:F25)</f>
        <v>818270.11904761905</v>
      </c>
      <c r="G26" s="401">
        <f t="shared" ref="G26:S26" si="19">+G23+G24+G25</f>
        <v>843363</v>
      </c>
      <c r="H26" s="401">
        <f t="shared" si="19"/>
        <v>818160.66666666674</v>
      </c>
      <c r="I26" s="401">
        <f t="shared" si="19"/>
        <v>806526.18166666664</v>
      </c>
      <c r="J26" s="401">
        <f t="shared" si="19"/>
        <v>873450.69047619053</v>
      </c>
      <c r="K26" s="401">
        <f t="shared" si="19"/>
        <v>983141.5</v>
      </c>
      <c r="L26" s="401">
        <f t="shared" si="19"/>
        <v>1026742.6428571427</v>
      </c>
      <c r="M26" s="401">
        <f t="shared" si="19"/>
        <v>1155607.4285714284</v>
      </c>
      <c r="N26" s="401">
        <f t="shared" si="19"/>
        <v>1250891.6904761905</v>
      </c>
      <c r="O26" s="401">
        <f t="shared" si="19"/>
        <v>1280004.3095238095</v>
      </c>
      <c r="P26" s="401">
        <f t="shared" si="19"/>
        <v>1309002.0238095238</v>
      </c>
      <c r="Q26" s="401">
        <f t="shared" si="19"/>
        <v>1406310.8809523811</v>
      </c>
      <c r="R26" s="401">
        <f t="shared" si="19"/>
        <v>1503987.3478571428</v>
      </c>
      <c r="S26" s="401">
        <f t="shared" si="19"/>
        <v>1702411.6190476192</v>
      </c>
      <c r="T26" s="401">
        <f t="shared" ref="T26" si="20">+T23+T24+T25</f>
        <v>1777646.0169047618</v>
      </c>
      <c r="U26" s="401">
        <f t="shared" ref="U26:V26" si="21">+U23+U24+U25</f>
        <v>1846806.536904762</v>
      </c>
      <c r="V26" s="401">
        <f t="shared" si="21"/>
        <v>1867230.8485714286</v>
      </c>
      <c r="W26" s="401">
        <f t="shared" ref="W26:X26" si="22">+W23+W24+W25</f>
        <v>1992421.3619047622</v>
      </c>
      <c r="X26" s="401">
        <f t="shared" si="22"/>
        <v>1641112.0276190476</v>
      </c>
      <c r="Y26" s="401">
        <f t="shared" ref="Y26" si="23">+Y23+Y24+Y25</f>
        <v>1940380.8214285714</v>
      </c>
      <c r="Z26" s="687">
        <f t="shared" si="18"/>
        <v>4.1116921389868374E-2</v>
      </c>
      <c r="AA26" s="81"/>
      <c r="AB26" s="81"/>
      <c r="AC26" s="82"/>
      <c r="AF26" s="13"/>
    </row>
    <row r="27" spans="2:32" ht="15" customHeight="1" thickBot="1" x14ac:dyDescent="0.3">
      <c r="B27" s="596"/>
      <c r="C27" s="396"/>
      <c r="D27" s="397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176"/>
      <c r="AA27" s="79"/>
      <c r="AB27" s="79"/>
      <c r="AC27" s="80"/>
      <c r="AF27" s="13"/>
    </row>
    <row r="28" spans="2:32" ht="24.9" customHeight="1" thickBot="1" x14ac:dyDescent="0.3">
      <c r="B28" s="597" t="s">
        <v>119</v>
      </c>
      <c r="C28" s="402">
        <f t="shared" ref="C28:J28" si="24">+C11+C16+C21+C26</f>
        <v>3182352.833333333</v>
      </c>
      <c r="D28" s="403">
        <f t="shared" si="24"/>
        <v>3170746.4047619049</v>
      </c>
      <c r="E28" s="404">
        <f t="shared" si="24"/>
        <v>3128896.8095238097</v>
      </c>
      <c r="F28" s="404">
        <f t="shared" si="24"/>
        <v>3212243.333333333</v>
      </c>
      <c r="G28" s="404">
        <f t="shared" si="24"/>
        <v>3195920.1428571427</v>
      </c>
      <c r="H28" s="404">
        <f t="shared" si="24"/>
        <v>3228365.0952380951</v>
      </c>
      <c r="I28" s="404">
        <f t="shared" si="24"/>
        <v>3206717.8216666663</v>
      </c>
      <c r="J28" s="404">
        <f t="shared" si="24"/>
        <v>3273711.2619047621</v>
      </c>
      <c r="K28" s="404">
        <f t="shared" ref="K28:P28" si="25">+K11+K16+K21+K26</f>
        <v>3698809.9285714282</v>
      </c>
      <c r="L28" s="404">
        <f t="shared" si="25"/>
        <v>3824675.2380952379</v>
      </c>
      <c r="M28" s="404">
        <f t="shared" si="25"/>
        <v>4452105.4047619049</v>
      </c>
      <c r="N28" s="404">
        <f t="shared" si="25"/>
        <v>4769026.9761904757</v>
      </c>
      <c r="O28" s="404">
        <f t="shared" si="25"/>
        <v>4936731.7380952379</v>
      </c>
      <c r="P28" s="404">
        <f t="shared" si="25"/>
        <v>5137003.9047619049</v>
      </c>
      <c r="Q28" s="404">
        <f t="shared" ref="Q28:V28" si="26">+Q11+Q16+Q21+Q26</f>
        <v>5320951.1904761903</v>
      </c>
      <c r="R28" s="404">
        <f t="shared" si="26"/>
        <v>5736129.4709523814</v>
      </c>
      <c r="S28" s="404">
        <f t="shared" si="26"/>
        <v>6431326.2380952388</v>
      </c>
      <c r="T28" s="404">
        <f t="shared" si="26"/>
        <v>6966448.1342857145</v>
      </c>
      <c r="U28" s="404">
        <f t="shared" si="26"/>
        <v>7224710.444285715</v>
      </c>
      <c r="V28" s="404">
        <f t="shared" si="26"/>
        <v>7266297.9726190474</v>
      </c>
      <c r="W28" s="404">
        <f t="shared" ref="W28:X28" si="27">+W11+W16+W21+W26</f>
        <v>7736538.8059523813</v>
      </c>
      <c r="X28" s="404">
        <f t="shared" si="27"/>
        <v>5480841.3747619055</v>
      </c>
      <c r="Y28" s="404">
        <f t="shared" ref="Y28" si="28">+Y11+Y16+Y21+Y26</f>
        <v>7089107.0304761901</v>
      </c>
      <c r="Z28" s="762">
        <f>RATE(22,,C28,-Y28)</f>
        <v>3.7077124252108455E-2</v>
      </c>
      <c r="AA28" s="81"/>
      <c r="AB28" s="81"/>
      <c r="AC28" s="82"/>
      <c r="AF28" s="13"/>
    </row>
    <row r="29" spans="2:32" ht="15" customHeight="1" thickBot="1" x14ac:dyDescent="0.3"/>
    <row r="30" spans="2:32" ht="15" customHeight="1" x14ac:dyDescent="0.25">
      <c r="B30" s="922" t="s">
        <v>100</v>
      </c>
      <c r="C30" s="922" t="s">
        <v>76</v>
      </c>
      <c r="D30" s="933"/>
      <c r="E30" s="933"/>
      <c r="F30" s="933"/>
      <c r="G30" s="933"/>
      <c r="H30" s="933"/>
      <c r="I30" s="933"/>
      <c r="J30" s="933"/>
      <c r="K30" s="933"/>
      <c r="L30" s="933"/>
      <c r="M30" s="933"/>
      <c r="N30" s="933"/>
      <c r="O30" s="933"/>
      <c r="P30" s="933"/>
      <c r="Q30" s="933"/>
      <c r="R30" s="933"/>
      <c r="S30" s="933"/>
      <c r="T30" s="933"/>
      <c r="U30" s="933"/>
      <c r="V30" s="933"/>
      <c r="W30" s="933"/>
      <c r="X30" s="933"/>
      <c r="Y30" s="933"/>
      <c r="Z30" s="934"/>
      <c r="AA30" s="298"/>
      <c r="AB30" s="35"/>
      <c r="AC30" s="35"/>
      <c r="AF30" s="13"/>
    </row>
    <row r="31" spans="2:32" ht="45" customHeight="1" thickBot="1" x14ac:dyDescent="0.3">
      <c r="B31" s="932"/>
      <c r="C31" s="590">
        <v>1999</v>
      </c>
      <c r="D31" s="588">
        <v>2000</v>
      </c>
      <c r="E31" s="588">
        <v>2001</v>
      </c>
      <c r="F31" s="588">
        <v>2002</v>
      </c>
      <c r="G31" s="588">
        <v>2003</v>
      </c>
      <c r="H31" s="588">
        <v>2004</v>
      </c>
      <c r="I31" s="588">
        <v>2005</v>
      </c>
      <c r="J31" s="588">
        <v>2006</v>
      </c>
      <c r="K31" s="586">
        <v>2007</v>
      </c>
      <c r="L31" s="588">
        <v>2008</v>
      </c>
      <c r="M31" s="588">
        <v>2009</v>
      </c>
      <c r="N31" s="589">
        <v>2010</v>
      </c>
      <c r="O31" s="589">
        <v>2011</v>
      </c>
      <c r="P31" s="589">
        <v>2012</v>
      </c>
      <c r="Q31" s="589">
        <v>2013</v>
      </c>
      <c r="R31" s="589">
        <v>2014</v>
      </c>
      <c r="S31" s="589">
        <v>2015</v>
      </c>
      <c r="T31" s="738">
        <v>2016</v>
      </c>
      <c r="U31" s="756">
        <v>2017</v>
      </c>
      <c r="V31" s="769">
        <v>2018</v>
      </c>
      <c r="W31" s="788">
        <v>2019</v>
      </c>
      <c r="X31" s="805">
        <v>2020</v>
      </c>
      <c r="Y31" s="834">
        <v>2021</v>
      </c>
      <c r="Z31" s="598" t="s">
        <v>308</v>
      </c>
      <c r="AA31" s="31"/>
      <c r="AB31" s="31"/>
      <c r="AC31" s="52"/>
      <c r="AF31" s="13"/>
    </row>
    <row r="32" spans="2:32" ht="15" customHeight="1" x14ac:dyDescent="0.25">
      <c r="B32" s="558"/>
      <c r="C32" s="370"/>
      <c r="D32" s="371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174"/>
      <c r="AA32" s="79"/>
      <c r="AB32" s="79"/>
      <c r="AC32" s="80"/>
      <c r="AF32" s="13"/>
    </row>
    <row r="33" spans="2:32" ht="15" customHeight="1" x14ac:dyDescent="0.25">
      <c r="B33" s="554" t="s">
        <v>86</v>
      </c>
      <c r="C33" s="361">
        <f>'C-SH-7A VenCombustbEstSer,99-21'!C33/42</f>
        <v>194747.11904761905</v>
      </c>
      <c r="D33" s="349">
        <f>'C-SH-7A VenCombustbEstSer,99-21'!D33/42</f>
        <v>213937.80952380953</v>
      </c>
      <c r="E33" s="350">
        <f>'C-SH-7A VenCombustbEstSer,99-21'!E33/42</f>
        <v>210007.66666666666</v>
      </c>
      <c r="F33" s="350">
        <f>'C-SH-7A VenCombustbEstSer,99-21'!F33/42</f>
        <v>211353.40476190476</v>
      </c>
      <c r="G33" s="350">
        <f>'C-SH-7A VenCombustbEstSer,99-21'!G33/42</f>
        <v>215843.90476190476</v>
      </c>
      <c r="H33" s="350">
        <f>'C-SH-7A VenCombustbEstSer,99-21'!H33/42</f>
        <v>239325.73809523811</v>
      </c>
      <c r="I33" s="350">
        <f>'C-SH-7A VenCombustbEstSer,99-21'!I33/42</f>
        <v>243764.35071428571</v>
      </c>
      <c r="J33" s="350">
        <f>'C-SH-7A VenCombustbEstSer,99-21'!J33/42</f>
        <v>234590.19928571428</v>
      </c>
      <c r="K33" s="350">
        <f>'C-SH-7A VenCombustbEstSer,99-21'!K33/42</f>
        <v>274024.92857142858</v>
      </c>
      <c r="L33" s="350">
        <f>'C-SH-7A VenCombustbEstSer,99-21'!L33/42</f>
        <v>304868.19047619047</v>
      </c>
      <c r="M33" s="350">
        <f>'C-SH-7A VenCombustbEstSer,99-21'!M33/42</f>
        <v>342632.40476190473</v>
      </c>
      <c r="N33" s="350">
        <f>'C-SH-7A VenCombustbEstSer,99-21'!N33/42</f>
        <v>320896.35714285716</v>
      </c>
      <c r="O33" s="350">
        <f>'C-SH-7A VenCombustbEstSer,99-21'!O33/42</f>
        <v>337671.38095238095</v>
      </c>
      <c r="P33" s="350">
        <f>'C-SH-7A VenCombustbEstSer,99-21'!P33/42</f>
        <v>363293.14285714284</v>
      </c>
      <c r="Q33" s="350">
        <f>'C-SH-7A VenCombustbEstSer,99-21'!Q33/42</f>
        <v>350944.38095238095</v>
      </c>
      <c r="R33" s="350">
        <f>'C-SH-7A VenCombustbEstSer,99-21'!R33/42</f>
        <v>356562.32999999996</v>
      </c>
      <c r="S33" s="350">
        <f>'C-SH-7A VenCombustbEstSer,99-21'!S33/42</f>
        <v>370867.61904761905</v>
      </c>
      <c r="T33" s="350">
        <f>'C-SH-7A VenCombustbEstSer,99-21'!T33/42</f>
        <v>388803.20119047619</v>
      </c>
      <c r="U33" s="350">
        <f>'C-SH-7A VenCombustbEstSer,99-21'!U33/42</f>
        <v>408931.06714285712</v>
      </c>
      <c r="V33" s="350">
        <f>'C-SH-7A VenCombustbEstSer,99-21'!V33/42</f>
        <v>411366.60261904757</v>
      </c>
      <c r="W33" s="350">
        <f>'C-SH-7A VenCombustbEstSer,99-21'!W33/42</f>
        <v>450286.85714285716</v>
      </c>
      <c r="X33" s="350">
        <f>'C-SH-7A VenCombustbEstSer,99-21'!X33/42</f>
        <v>405721.90880952385</v>
      </c>
      <c r="Y33" s="350">
        <f>'C-SH-7A VenCombustbEstSer,99-21'!Y33/42</f>
        <v>316111.43904761906</v>
      </c>
      <c r="Z33" s="175">
        <f>RATE(22,,C33,-Y33)</f>
        <v>2.2262041678462064E-2</v>
      </c>
      <c r="AA33" s="79"/>
      <c r="AB33" s="79"/>
      <c r="AC33" s="80"/>
      <c r="AF33" s="13"/>
    </row>
    <row r="34" spans="2:32" ht="15" customHeight="1" x14ac:dyDescent="0.25">
      <c r="B34" s="554" t="s">
        <v>87</v>
      </c>
      <c r="C34" s="361">
        <f>'C-SH-7A VenCombustbEstSer,99-21'!C34/42</f>
        <v>185162.73809523811</v>
      </c>
      <c r="D34" s="349">
        <f>'C-SH-7A VenCombustbEstSer,99-21'!D34/42</f>
        <v>208376.33333333334</v>
      </c>
      <c r="E34" s="350">
        <f>'C-SH-7A VenCombustbEstSer,99-21'!E34/42</f>
        <v>194932.59523809524</v>
      </c>
      <c r="F34" s="350">
        <f>'C-SH-7A VenCombustbEstSer,99-21'!F34/42</f>
        <v>204495.45238095237</v>
      </c>
      <c r="G34" s="350">
        <f>'C-SH-7A VenCombustbEstSer,99-21'!G34/42</f>
        <v>217754.73809523811</v>
      </c>
      <c r="H34" s="350">
        <f>'C-SH-7A VenCombustbEstSer,99-21'!H34/42</f>
        <v>220258.80952380953</v>
      </c>
      <c r="I34" s="350">
        <f>'C-SH-7A VenCombustbEstSer,99-21'!I34/42</f>
        <v>224608.66071428571</v>
      </c>
      <c r="J34" s="350">
        <f>'C-SH-7A VenCombustbEstSer,99-21'!J34/42</f>
        <v>220718.04761904763</v>
      </c>
      <c r="K34" s="350">
        <f>'C-SH-7A VenCombustbEstSer,99-21'!K34/42</f>
        <v>257374.73809523811</v>
      </c>
      <c r="L34" s="350">
        <f>'C-SH-7A VenCombustbEstSer,99-21'!L34/42</f>
        <v>280512.57142857142</v>
      </c>
      <c r="M34" s="350">
        <f>'C-SH-7A VenCombustbEstSer,99-21'!M34/42</f>
        <v>322130.14285714284</v>
      </c>
      <c r="N34" s="350">
        <f>'C-SH-7A VenCombustbEstSer,99-21'!N34/42</f>
        <v>317223</v>
      </c>
      <c r="O34" s="350">
        <f>'C-SH-7A VenCombustbEstSer,99-21'!O34/42</f>
        <v>366199.28571428574</v>
      </c>
      <c r="P34" s="350">
        <f>'C-SH-7A VenCombustbEstSer,99-21'!P34/42</f>
        <v>343613.92857142858</v>
      </c>
      <c r="Q34" s="350">
        <f>'C-SH-7A VenCombustbEstSer,99-21'!Q34/42</f>
        <v>327129.14285714284</v>
      </c>
      <c r="R34" s="350">
        <f>'C-SH-7A VenCombustbEstSer,99-21'!R34/42</f>
        <v>345361.54619047616</v>
      </c>
      <c r="S34" s="350">
        <f>'C-SH-7A VenCombustbEstSer,99-21'!S34/42</f>
        <v>348418.61904761905</v>
      </c>
      <c r="T34" s="350">
        <f>'C-SH-7A VenCombustbEstSer,99-21'!T34/42</f>
        <v>392634.5228571429</v>
      </c>
      <c r="U34" s="350">
        <f>'C-SH-7A VenCombustbEstSer,99-21'!U34/42</f>
        <v>399900.2752380952</v>
      </c>
      <c r="V34" s="350">
        <f>'C-SH-7A VenCombustbEstSer,99-21'!V34/42</f>
        <v>367086.43714285712</v>
      </c>
      <c r="W34" s="350">
        <f>'C-SH-7A VenCombustbEstSer,99-21'!W34/42</f>
        <v>428384.83333333331</v>
      </c>
      <c r="X34" s="350">
        <f>'C-SH-7A VenCombustbEstSer,99-21'!X34/42</f>
        <v>422776.10166666668</v>
      </c>
      <c r="Y34" s="350">
        <f>'C-SH-7A VenCombustbEstSer,99-21'!Y34/42</f>
        <v>369069.58095238096</v>
      </c>
      <c r="Z34" s="175">
        <f t="shared" ref="Z34:Z36" si="29">RATE(22,,C34,-Y34)</f>
        <v>3.1848936269933847E-2</v>
      </c>
      <c r="AA34" s="79"/>
      <c r="AB34" s="79"/>
      <c r="AC34" s="80"/>
      <c r="AF34" s="13"/>
    </row>
    <row r="35" spans="2:32" ht="15" customHeight="1" x14ac:dyDescent="0.25">
      <c r="B35" s="554" t="s">
        <v>88</v>
      </c>
      <c r="C35" s="361">
        <f>'C-SH-7A VenCombustbEstSer,99-21'!C35/42</f>
        <v>234571.69047619047</v>
      </c>
      <c r="D35" s="349">
        <f>'C-SH-7A VenCombustbEstSer,99-21'!D35/42</f>
        <v>233579</v>
      </c>
      <c r="E35" s="350">
        <f>'C-SH-7A VenCombustbEstSer,99-21'!E35/42</f>
        <v>235782.30952380953</v>
      </c>
      <c r="F35" s="350">
        <f>'C-SH-7A VenCombustbEstSer,99-21'!F35/42</f>
        <v>238570.26190476189</v>
      </c>
      <c r="G35" s="350">
        <f>'C-SH-7A VenCombustbEstSer,99-21'!G35/42</f>
        <v>220762.90476190476</v>
      </c>
      <c r="H35" s="350">
        <f>'C-SH-7A VenCombustbEstSer,99-21'!H35/42</f>
        <v>265753.14285714284</v>
      </c>
      <c r="I35" s="350">
        <f>'C-SH-7A VenCombustbEstSer,99-21'!I35/42</f>
        <v>267446.82880952384</v>
      </c>
      <c r="J35" s="350">
        <f>'C-SH-7A VenCombustbEstSer,99-21'!J35/42</f>
        <v>270518.66666666669</v>
      </c>
      <c r="K35" s="350">
        <f>'C-SH-7A VenCombustbEstSer,99-21'!K35/42</f>
        <v>307427.02380952379</v>
      </c>
      <c r="L35" s="350">
        <f>'C-SH-7A VenCombustbEstSer,99-21'!L35/42</f>
        <v>300588.5</v>
      </c>
      <c r="M35" s="350">
        <f>'C-SH-7A VenCombustbEstSer,99-21'!M35/42</f>
        <v>370612.33333333331</v>
      </c>
      <c r="N35" s="350">
        <f>'C-SH-7A VenCombustbEstSer,99-21'!N35/42</f>
        <v>390433.45238095237</v>
      </c>
      <c r="O35" s="350">
        <f>'C-SH-7A VenCombustbEstSer,99-21'!O35/42</f>
        <v>370990.5</v>
      </c>
      <c r="P35" s="350">
        <f>'C-SH-7A VenCombustbEstSer,99-21'!P35/42</f>
        <v>389013.97619047621</v>
      </c>
      <c r="Q35" s="350">
        <f>'C-SH-7A VenCombustbEstSer,99-21'!Q35/42</f>
        <v>350398.07142857142</v>
      </c>
      <c r="R35" s="350">
        <f>'C-SH-7A VenCombustbEstSer,99-21'!R35/42</f>
        <v>357578.49023809523</v>
      </c>
      <c r="S35" s="350">
        <f>'C-SH-7A VenCombustbEstSer,99-21'!S35/42</f>
        <v>398196.26190476189</v>
      </c>
      <c r="T35" s="350">
        <f>'C-SH-7A VenCombustbEstSer,99-21'!T35/42</f>
        <v>436919.61952380952</v>
      </c>
      <c r="U35" s="350">
        <f>'C-SH-7A VenCombustbEstSer,99-21'!U35/42</f>
        <v>465203.97357142856</v>
      </c>
      <c r="V35" s="350">
        <f>'C-SH-7A VenCombustbEstSer,99-21'!V35/42</f>
        <v>474628.02785714291</v>
      </c>
      <c r="W35" s="350">
        <f>'C-SH-7A VenCombustbEstSer,99-21'!W35/42</f>
        <v>449077.97619047621</v>
      </c>
      <c r="X35" s="350">
        <f>'C-SH-7A VenCombustbEstSer,99-21'!X35/42</f>
        <v>339310.38904761907</v>
      </c>
      <c r="Y35" s="350">
        <f>'C-SH-7A VenCombustbEstSer,99-21'!Y35/42</f>
        <v>449409.76904761908</v>
      </c>
      <c r="Z35" s="175">
        <f t="shared" si="29"/>
        <v>2.9994390761620283E-2</v>
      </c>
      <c r="AA35" s="79"/>
      <c r="AB35" s="79"/>
      <c r="AC35" s="80"/>
      <c r="AF35" s="13"/>
    </row>
    <row r="36" spans="2:32" ht="15" customHeight="1" x14ac:dyDescent="0.25">
      <c r="B36" s="555" t="s">
        <v>115</v>
      </c>
      <c r="C36" s="373">
        <f>SUM(C33:C35)</f>
        <v>614481.54761904757</v>
      </c>
      <c r="D36" s="363">
        <f>SUM(D33:D35)</f>
        <v>655893.14285714284</v>
      </c>
      <c r="E36" s="364">
        <f>SUM(E33:E35)</f>
        <v>640722.57142857136</v>
      </c>
      <c r="F36" s="364">
        <f>SUM(F33:F35)</f>
        <v>654419.11904761905</v>
      </c>
      <c r="G36" s="364">
        <f t="shared" ref="G36:S36" si="30">+G33+G34+G35</f>
        <v>654361.54761904757</v>
      </c>
      <c r="H36" s="364">
        <f t="shared" si="30"/>
        <v>725337.69047619053</v>
      </c>
      <c r="I36" s="364">
        <f t="shared" si="30"/>
        <v>735819.84023809526</v>
      </c>
      <c r="J36" s="364">
        <f t="shared" si="30"/>
        <v>725826.91357142851</v>
      </c>
      <c r="K36" s="364">
        <f t="shared" si="30"/>
        <v>838826.69047619053</v>
      </c>
      <c r="L36" s="401">
        <f t="shared" si="30"/>
        <v>885969.26190476189</v>
      </c>
      <c r="M36" s="401">
        <f t="shared" si="30"/>
        <v>1035374.8809523808</v>
      </c>
      <c r="N36" s="401">
        <f t="shared" si="30"/>
        <v>1028552.8095238095</v>
      </c>
      <c r="O36" s="401">
        <f t="shared" si="30"/>
        <v>1074861.1666666667</v>
      </c>
      <c r="P36" s="401">
        <f t="shared" si="30"/>
        <v>1095921.0476190476</v>
      </c>
      <c r="Q36" s="401">
        <f t="shared" si="30"/>
        <v>1028471.5952380951</v>
      </c>
      <c r="R36" s="401">
        <f t="shared" si="30"/>
        <v>1059502.3664285713</v>
      </c>
      <c r="S36" s="401">
        <f t="shared" si="30"/>
        <v>1117482.5</v>
      </c>
      <c r="T36" s="401">
        <f t="shared" ref="T36" si="31">+T33+T34+T35</f>
        <v>1218357.3435714287</v>
      </c>
      <c r="U36" s="401">
        <f t="shared" ref="U36:V36" si="32">+U33+U34+U35</f>
        <v>1274035.3159523809</v>
      </c>
      <c r="V36" s="401">
        <f t="shared" si="32"/>
        <v>1253081.0676190476</v>
      </c>
      <c r="W36" s="401">
        <f t="shared" ref="W36:X36" si="33">+W33+W34+W35</f>
        <v>1327749.6666666667</v>
      </c>
      <c r="X36" s="401">
        <f t="shared" si="33"/>
        <v>1167808.3995238096</v>
      </c>
      <c r="Y36" s="401">
        <f t="shared" ref="Y36" si="34">+Y33+Y34+Y35</f>
        <v>1134590.7890476191</v>
      </c>
      <c r="Z36" s="687">
        <f t="shared" si="29"/>
        <v>2.8267069443465277E-2</v>
      </c>
      <c r="AA36" s="81"/>
      <c r="AB36" s="91"/>
      <c r="AC36" s="82"/>
      <c r="AF36" s="13"/>
    </row>
    <row r="37" spans="2:32" ht="15" customHeight="1" x14ac:dyDescent="0.25">
      <c r="B37" s="554"/>
      <c r="C37" s="361"/>
      <c r="D37" s="349"/>
      <c r="E37" s="350"/>
      <c r="F37" s="350"/>
      <c r="G37" s="350"/>
      <c r="H37" s="350"/>
      <c r="I37" s="350"/>
      <c r="J37" s="350"/>
      <c r="K37" s="350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810"/>
      <c r="AA37" s="79"/>
      <c r="AB37" s="79"/>
      <c r="AC37" s="80"/>
      <c r="AF37" s="13"/>
    </row>
    <row r="38" spans="2:32" ht="15" customHeight="1" x14ac:dyDescent="0.25">
      <c r="B38" s="554" t="s">
        <v>89</v>
      </c>
      <c r="C38" s="361">
        <f>'C-SH-7A VenCombustbEstSer,99-21'!C38/42</f>
        <v>220521.38095238095</v>
      </c>
      <c r="D38" s="349">
        <f>'C-SH-7A VenCombustbEstSer,99-21'!D38/42</f>
        <v>216226.14285714287</v>
      </c>
      <c r="E38" s="350">
        <f>'C-SH-7A VenCombustbEstSer,99-21'!E38/42</f>
        <v>218768.26190476189</v>
      </c>
      <c r="F38" s="350">
        <f>'C-SH-7A VenCombustbEstSer,99-21'!F38/42</f>
        <v>224474.19047619047</v>
      </c>
      <c r="G38" s="350">
        <f>'C-SH-7A VenCombustbEstSer,99-21'!G38/42</f>
        <v>231297.16666666666</v>
      </c>
      <c r="H38" s="350">
        <f>'C-SH-7A VenCombustbEstSer,99-21'!H38/42</f>
        <v>264342.88095238095</v>
      </c>
      <c r="I38" s="350">
        <f>'C-SH-7A VenCombustbEstSer,99-21'!I38/42</f>
        <v>243830.41952380951</v>
      </c>
      <c r="J38" s="350">
        <f>'C-SH-7A VenCombustbEstSer,99-21'!J38/42</f>
        <v>245283.45238095237</v>
      </c>
      <c r="K38" s="350">
        <f>'C-SH-7A VenCombustbEstSer,99-21'!K38/42</f>
        <v>264750.64285714284</v>
      </c>
      <c r="L38" s="350">
        <f>'C-SH-7A VenCombustbEstSer,99-21'!L38/42</f>
        <v>316254.19047619047</v>
      </c>
      <c r="M38" s="350">
        <f>'C-SH-7A VenCombustbEstSer,99-21'!M38/42</f>
        <v>360833.73809523811</v>
      </c>
      <c r="N38" s="350">
        <f>'C-SH-7A VenCombustbEstSer,99-21'!N38/42</f>
        <v>348286.83333333331</v>
      </c>
      <c r="O38" s="350">
        <f>'C-SH-7A VenCombustbEstSer,99-21'!O38/42</f>
        <v>362420.5</v>
      </c>
      <c r="P38" s="350">
        <f>'C-SH-7A VenCombustbEstSer,99-21'!P38/42</f>
        <v>343078.73809523811</v>
      </c>
      <c r="Q38" s="350">
        <f>'C-SH-7A VenCombustbEstSer,99-21'!Q38/42</f>
        <v>342346.54761904763</v>
      </c>
      <c r="R38" s="350">
        <f>'C-SH-7A VenCombustbEstSer,99-21'!R38/42</f>
        <v>378983.46238095238</v>
      </c>
      <c r="S38" s="350">
        <f>'C-SH-7A VenCombustbEstSer,99-21'!S38/42</f>
        <v>396805.30952380953</v>
      </c>
      <c r="T38" s="350">
        <f>'C-SH-7A VenCombustbEstSer,99-21'!T38/42</f>
        <v>438250.20904761908</v>
      </c>
      <c r="U38" s="350">
        <f>'C-SH-7A VenCombustbEstSer,99-21'!U38/42</f>
        <v>434965.97428571433</v>
      </c>
      <c r="V38" s="350">
        <f>'C-SH-7A VenCombustbEstSer,99-21'!V38/42</f>
        <v>419306.23880952381</v>
      </c>
      <c r="W38" s="350">
        <f>'C-SH-7A VenCombustbEstSer,99-21'!W38/42</f>
        <v>455830.73523809522</v>
      </c>
      <c r="X38" s="350">
        <f>'C-SH-7A VenCombustbEstSer,99-21'!X38/42</f>
        <v>172717.63880952381</v>
      </c>
      <c r="Y38" s="350">
        <f>'C-SH-7A VenCombustbEstSer,99-21'!Y38/42</f>
        <v>422892.79047619045</v>
      </c>
      <c r="Z38" s="175">
        <f>RATE(22,,C38,-Y38)</f>
        <v>3.0038878141823915E-2</v>
      </c>
      <c r="AA38" s="79"/>
      <c r="AB38" s="79"/>
      <c r="AC38" s="80"/>
      <c r="AF38" s="13"/>
    </row>
    <row r="39" spans="2:32" ht="15" customHeight="1" x14ac:dyDescent="0.25">
      <c r="B39" s="554" t="s">
        <v>90</v>
      </c>
      <c r="C39" s="361">
        <f>'C-SH-7A VenCombustbEstSer,99-21'!C39/42</f>
        <v>201842.83333333334</v>
      </c>
      <c r="D39" s="349">
        <f>'C-SH-7A VenCombustbEstSer,99-21'!D39/42</f>
        <v>227386.76190476189</v>
      </c>
      <c r="E39" s="350">
        <f>'C-SH-7A VenCombustbEstSer,99-21'!E39/42</f>
        <v>217573.16666666666</v>
      </c>
      <c r="F39" s="350">
        <f>'C-SH-7A VenCombustbEstSer,99-21'!F39/42</f>
        <v>237228.26190476189</v>
      </c>
      <c r="G39" s="350">
        <f>'C-SH-7A VenCombustbEstSer,99-21'!G39/42</f>
        <v>235390.11904761905</v>
      </c>
      <c r="H39" s="350">
        <f>'C-SH-7A VenCombustbEstSer,99-21'!H39/42</f>
        <v>221365.90476190476</v>
      </c>
      <c r="I39" s="350">
        <f>'C-SH-7A VenCombustbEstSer,99-21'!I39/42</f>
        <v>247744.42595238096</v>
      </c>
      <c r="J39" s="350">
        <f>'C-SH-7A VenCombustbEstSer,99-21'!J39/42</f>
        <v>229167.69047619047</v>
      </c>
      <c r="K39" s="350">
        <f>'C-SH-7A VenCombustbEstSer,99-21'!K39/42</f>
        <v>288298.14285714284</v>
      </c>
      <c r="L39" s="350">
        <f>'C-SH-7A VenCombustbEstSer,99-21'!L39/42</f>
        <v>318201.40476190473</v>
      </c>
      <c r="M39" s="350">
        <f>'C-SH-7A VenCombustbEstSer,99-21'!M39/42</f>
        <v>341243.14285714284</v>
      </c>
      <c r="N39" s="350">
        <f>'C-SH-7A VenCombustbEstSer,99-21'!N39/42</f>
        <v>329903.73809523811</v>
      </c>
      <c r="O39" s="350">
        <f>'C-SH-7A VenCombustbEstSer,99-21'!O39/42</f>
        <v>354008.26190476189</v>
      </c>
      <c r="P39" s="350">
        <f>'C-SH-7A VenCombustbEstSer,99-21'!P39/42</f>
        <v>365768.69047619047</v>
      </c>
      <c r="Q39" s="350">
        <f>'C-SH-7A VenCombustbEstSer,99-21'!Q39/42</f>
        <v>361873.30952380953</v>
      </c>
      <c r="R39" s="350">
        <f>'C-SH-7A VenCombustbEstSer,99-21'!R39/42</f>
        <v>360244.69857142854</v>
      </c>
      <c r="S39" s="350">
        <f>'C-SH-7A VenCombustbEstSer,99-21'!S39/42</f>
        <v>372319.85714285716</v>
      </c>
      <c r="T39" s="350">
        <f>'C-SH-7A VenCombustbEstSer,99-21'!T39/42</f>
        <v>407092.63785714284</v>
      </c>
      <c r="U39" s="350">
        <f>'C-SH-7A VenCombustbEstSer,99-21'!U39/42</f>
        <v>439031.68785714288</v>
      </c>
      <c r="V39" s="350">
        <f>'C-SH-7A VenCombustbEstSer,99-21'!V39/42</f>
        <v>413321.43642857141</v>
      </c>
      <c r="W39" s="350">
        <f>'C-SH-7A VenCombustbEstSer,99-21'!W39/42</f>
        <v>436882.21428571426</v>
      </c>
      <c r="X39" s="350">
        <f>'C-SH-7A VenCombustbEstSer,99-21'!X39/42</f>
        <v>218881.10523809525</v>
      </c>
      <c r="Y39" s="350">
        <f>'C-SH-7A VenCombustbEstSer,99-21'!Y39/42</f>
        <v>412331.62142857147</v>
      </c>
      <c r="Z39" s="175">
        <f t="shared" ref="Z39:Z41" si="35">RATE(22,,C39,-Y39)</f>
        <v>3.3002836395824554E-2</v>
      </c>
      <c r="AA39" s="79"/>
      <c r="AB39" s="79"/>
      <c r="AC39" s="80"/>
      <c r="AF39" s="13"/>
    </row>
    <row r="40" spans="2:32" ht="15" customHeight="1" x14ac:dyDescent="0.25">
      <c r="B40" s="554" t="s">
        <v>91</v>
      </c>
      <c r="C40" s="361">
        <f>'C-SH-7A VenCombustbEstSer,99-21'!C40/42</f>
        <v>206605.5</v>
      </c>
      <c r="D40" s="349">
        <f>'C-SH-7A VenCombustbEstSer,99-21'!D40/42</f>
        <v>213242.02380952382</v>
      </c>
      <c r="E40" s="350">
        <f>'C-SH-7A VenCombustbEstSer,99-21'!E40/42</f>
        <v>214025.76190476189</v>
      </c>
      <c r="F40" s="350">
        <f>'C-SH-7A VenCombustbEstSer,99-21'!F40/42</f>
        <v>205567.85714285713</v>
      </c>
      <c r="G40" s="350">
        <f>'C-SH-7A VenCombustbEstSer,99-21'!G40/42</f>
        <v>223665.88095238095</v>
      </c>
      <c r="H40" s="350">
        <f>'C-SH-7A VenCombustbEstSer,99-21'!H40/42</f>
        <v>231006.02380952382</v>
      </c>
      <c r="I40" s="350">
        <f>'C-SH-7A VenCombustbEstSer,99-21'!I40/42</f>
        <v>226878.57095238095</v>
      </c>
      <c r="J40" s="350">
        <f>'C-SH-7A VenCombustbEstSer,99-21'!J40/42</f>
        <v>244187.57142857142</v>
      </c>
      <c r="K40" s="350">
        <f>'C-SH-7A VenCombustbEstSer,99-21'!K40/42</f>
        <v>271875.35714285716</v>
      </c>
      <c r="L40" s="350">
        <f>'C-SH-7A VenCombustbEstSer,99-21'!L40/42</f>
        <v>269419.23809523811</v>
      </c>
      <c r="M40" s="350">
        <f>'C-SH-7A VenCombustbEstSer,99-21'!M40/42</f>
        <v>311933.88095238095</v>
      </c>
      <c r="N40" s="350">
        <f>'C-SH-7A VenCombustbEstSer,99-21'!N40/42</f>
        <v>350593.83333333331</v>
      </c>
      <c r="O40" s="350">
        <f>'C-SH-7A VenCombustbEstSer,99-21'!O40/42</f>
        <v>352338.04761904763</v>
      </c>
      <c r="P40" s="350">
        <f>'C-SH-7A VenCombustbEstSer,99-21'!P40/42</f>
        <v>351668.95238095237</v>
      </c>
      <c r="Q40" s="350">
        <f>'C-SH-7A VenCombustbEstSer,99-21'!Q40/42</f>
        <v>325584.19047619047</v>
      </c>
      <c r="R40" s="350">
        <f>'C-SH-7A VenCombustbEstSer,99-21'!R40/42</f>
        <v>339852.66261904762</v>
      </c>
      <c r="S40" s="350">
        <f>'C-SH-7A VenCombustbEstSer,99-21'!S40/42</f>
        <v>367379.88095238095</v>
      </c>
      <c r="T40" s="350">
        <f>'C-SH-7A VenCombustbEstSer,99-21'!T40/42</f>
        <v>396479.54880952381</v>
      </c>
      <c r="U40" s="350">
        <f>'C-SH-7A VenCombustbEstSer,99-21'!U40/42</f>
        <v>417945.19261904759</v>
      </c>
      <c r="V40" s="350">
        <f>'C-SH-7A VenCombustbEstSer,99-21'!V40/42</f>
        <v>399506.41166666662</v>
      </c>
      <c r="W40" s="350">
        <f>'C-SH-7A VenCombustbEstSer,99-21'!W40/42</f>
        <v>420157.73809523811</v>
      </c>
      <c r="X40" s="350">
        <f>'C-SH-7A VenCombustbEstSer,99-21'!X40/42</f>
        <v>276980.90499999997</v>
      </c>
      <c r="Y40" s="350">
        <f>'C-SH-7A VenCombustbEstSer,99-21'!Y40/42</f>
        <v>408959.97857142851</v>
      </c>
      <c r="Z40" s="175">
        <f t="shared" si="35"/>
        <v>3.1523300154979263E-2</v>
      </c>
      <c r="AA40" s="79"/>
      <c r="AB40" s="79"/>
      <c r="AC40" s="80"/>
      <c r="AF40" s="13"/>
    </row>
    <row r="41" spans="2:32" ht="15" customHeight="1" x14ac:dyDescent="0.25">
      <c r="B41" s="555" t="s">
        <v>116</v>
      </c>
      <c r="C41" s="373">
        <f>SUM(C38:C40)</f>
        <v>628969.71428571432</v>
      </c>
      <c r="D41" s="363">
        <f>SUM(D38:D40)</f>
        <v>656854.92857142852</v>
      </c>
      <c r="E41" s="364">
        <f>SUM(E38:E40)</f>
        <v>650367.19047619042</v>
      </c>
      <c r="F41" s="364">
        <f>SUM(F38:F40)</f>
        <v>667270.30952380947</v>
      </c>
      <c r="G41" s="364">
        <f t="shared" ref="G41:S41" si="36">+G38+G39+G40</f>
        <v>690353.16666666663</v>
      </c>
      <c r="H41" s="364">
        <f t="shared" si="36"/>
        <v>716714.80952380947</v>
      </c>
      <c r="I41" s="364">
        <f t="shared" si="36"/>
        <v>718453.41642857133</v>
      </c>
      <c r="J41" s="364">
        <f t="shared" si="36"/>
        <v>718638.71428571432</v>
      </c>
      <c r="K41" s="364">
        <f t="shared" si="36"/>
        <v>824924.14285714284</v>
      </c>
      <c r="L41" s="401">
        <f t="shared" si="36"/>
        <v>903874.83333333326</v>
      </c>
      <c r="M41" s="401">
        <f t="shared" si="36"/>
        <v>1014010.7619047619</v>
      </c>
      <c r="N41" s="401">
        <f t="shared" si="36"/>
        <v>1028784.4047619046</v>
      </c>
      <c r="O41" s="401">
        <f t="shared" si="36"/>
        <v>1068766.8095238095</v>
      </c>
      <c r="P41" s="401">
        <f t="shared" si="36"/>
        <v>1060516.3809523811</v>
      </c>
      <c r="Q41" s="401">
        <f t="shared" si="36"/>
        <v>1029804.0476190476</v>
      </c>
      <c r="R41" s="401">
        <f t="shared" si="36"/>
        <v>1079080.8235714284</v>
      </c>
      <c r="S41" s="401">
        <f t="shared" si="36"/>
        <v>1136505.0476190476</v>
      </c>
      <c r="T41" s="401">
        <f t="shared" ref="T41" si="37">+T38+T39+T40</f>
        <v>1241822.3957142858</v>
      </c>
      <c r="U41" s="401">
        <f t="shared" ref="U41:V41" si="38">+U38+U39+U40</f>
        <v>1291942.8547619048</v>
      </c>
      <c r="V41" s="401">
        <f t="shared" si="38"/>
        <v>1232134.0869047618</v>
      </c>
      <c r="W41" s="401">
        <f t="shared" ref="W41:X41" si="39">+W38+W39+W40</f>
        <v>1312870.6876190477</v>
      </c>
      <c r="X41" s="401">
        <f t="shared" si="39"/>
        <v>668579.64904761896</v>
      </c>
      <c r="Y41" s="401">
        <f t="shared" ref="Y41" si="40">+Y38+Y39+Y40</f>
        <v>1244184.3904761905</v>
      </c>
      <c r="Z41" s="687">
        <f t="shared" si="35"/>
        <v>3.1492648337068545E-2</v>
      </c>
      <c r="AA41" s="81"/>
      <c r="AB41" s="81"/>
      <c r="AC41" s="82"/>
      <c r="AF41" s="13"/>
    </row>
    <row r="42" spans="2:32" ht="15" customHeight="1" x14ac:dyDescent="0.25">
      <c r="B42" s="554"/>
      <c r="C42" s="361"/>
      <c r="D42" s="349"/>
      <c r="E42" s="350"/>
      <c r="F42" s="350"/>
      <c r="G42" s="350"/>
      <c r="H42" s="350"/>
      <c r="I42" s="350"/>
      <c r="J42" s="350"/>
      <c r="K42" s="350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176"/>
      <c r="AA42" s="79"/>
      <c r="AB42" s="79"/>
      <c r="AC42" s="80"/>
      <c r="AF42" s="13"/>
    </row>
    <row r="43" spans="2:32" ht="15" customHeight="1" x14ac:dyDescent="0.25">
      <c r="B43" s="554" t="s">
        <v>93</v>
      </c>
      <c r="C43" s="361">
        <f>'C-SH-7A VenCombustbEstSer,99-21'!C43/42</f>
        <v>212160.21428571429</v>
      </c>
      <c r="D43" s="349">
        <f>'C-SH-7A VenCombustbEstSer,99-21'!D43/42</f>
        <v>217614.11904761905</v>
      </c>
      <c r="E43" s="350">
        <f>'C-SH-7A VenCombustbEstSer,99-21'!E43/42</f>
        <v>202896.83333333334</v>
      </c>
      <c r="F43" s="350">
        <f>'C-SH-7A VenCombustbEstSer,99-21'!F43/42</f>
        <v>226014.95238095237</v>
      </c>
      <c r="G43" s="350">
        <f>'C-SH-7A VenCombustbEstSer,99-21'!G43/42</f>
        <v>232948.23809523811</v>
      </c>
      <c r="H43" s="350">
        <f>'C-SH-7A VenCombustbEstSer,99-21'!H43/42</f>
        <v>246131.83333333334</v>
      </c>
      <c r="I43" s="350">
        <f>'C-SH-7A VenCombustbEstSer,99-21'!I43/42</f>
        <v>238060.6380952381</v>
      </c>
      <c r="J43" s="350">
        <f>'C-SH-7A VenCombustbEstSer,99-21'!J43/42</f>
        <v>241391.40476190476</v>
      </c>
      <c r="K43" s="350">
        <f>'C-SH-7A VenCombustbEstSer,99-21'!K43/42</f>
        <v>275010.21428571426</v>
      </c>
      <c r="L43" s="350">
        <f>'C-SH-7A VenCombustbEstSer,99-21'!L43/42</f>
        <v>301380.02380952379</v>
      </c>
      <c r="M43" s="350">
        <f>'C-SH-7A VenCombustbEstSer,99-21'!M43/42</f>
        <v>349842.69047619047</v>
      </c>
      <c r="N43" s="350">
        <f>'C-SH-7A VenCombustbEstSer,99-21'!N43/42</f>
        <v>343423.52380952379</v>
      </c>
      <c r="O43" s="350">
        <f>'C-SH-7A VenCombustbEstSer,99-21'!O43/42</f>
        <v>362450.97619047621</v>
      </c>
      <c r="P43" s="350">
        <f>'C-SH-7A VenCombustbEstSer,99-21'!P43/42</f>
        <v>355222.83333333331</v>
      </c>
      <c r="Q43" s="350">
        <f>'C-SH-7A VenCombustbEstSer,99-21'!Q43/42</f>
        <v>352087.35714285716</v>
      </c>
      <c r="R43" s="350">
        <f>'C-SH-7A VenCombustbEstSer,99-21'!R43/42</f>
        <v>358134.27047619049</v>
      </c>
      <c r="S43" s="350">
        <f>'C-SH-7A VenCombustbEstSer,99-21'!S43/42</f>
        <v>385637</v>
      </c>
      <c r="T43" s="350">
        <f>'C-SH-7A VenCombustbEstSer,99-21'!T43/42</f>
        <v>409111.36190476187</v>
      </c>
      <c r="U43" s="350">
        <f>'C-SH-7A VenCombustbEstSer,99-21'!U43/42</f>
        <v>428996.7795238095</v>
      </c>
      <c r="V43" s="350">
        <f>'C-SH-7A VenCombustbEstSer,99-21'!V43/42</f>
        <v>407849.85880952381</v>
      </c>
      <c r="W43" s="350">
        <f>'C-SH-7A VenCombustbEstSer,99-21'!W43/42</f>
        <v>423888.85714285716</v>
      </c>
      <c r="X43" s="350">
        <f>'C-SH-7A VenCombustbEstSer,99-21'!X43/42</f>
        <v>285744.60023809527</v>
      </c>
      <c r="Y43" s="350">
        <f>'C-SH-7A VenCombustbEstSer,99-21'!Y43/42</f>
        <v>415410.25238095236</v>
      </c>
      <c r="Z43" s="175">
        <f>RATE(22,,C43,-Y43)</f>
        <v>3.1013232693363153E-2</v>
      </c>
      <c r="AA43" s="79"/>
      <c r="AB43" s="79"/>
      <c r="AC43" s="80"/>
      <c r="AF43" s="13"/>
    </row>
    <row r="44" spans="2:32" ht="15" customHeight="1" x14ac:dyDescent="0.25">
      <c r="B44" s="554" t="s">
        <v>94</v>
      </c>
      <c r="C44" s="361">
        <f>'C-SH-7A VenCombustbEstSer,99-21'!C44/42</f>
        <v>212156.5</v>
      </c>
      <c r="D44" s="349">
        <f>'C-SH-7A VenCombustbEstSer,99-21'!D44/42</f>
        <v>225491.5</v>
      </c>
      <c r="E44" s="350">
        <f>'C-SH-7A VenCombustbEstSer,99-21'!E44/42</f>
        <v>222549</v>
      </c>
      <c r="F44" s="350">
        <f>'C-SH-7A VenCombustbEstSer,99-21'!F44/42</f>
        <v>223520.14285714287</v>
      </c>
      <c r="G44" s="350">
        <f>'C-SH-7A VenCombustbEstSer,99-21'!G44/42</f>
        <v>227811</v>
      </c>
      <c r="H44" s="350">
        <f>'C-SH-7A VenCombustbEstSer,99-21'!H44/42</f>
        <v>234792.76190476189</v>
      </c>
      <c r="I44" s="350">
        <f>'C-SH-7A VenCombustbEstSer,99-21'!I44/42</f>
        <v>245288.04952380952</v>
      </c>
      <c r="J44" s="350">
        <f>'C-SH-7A VenCombustbEstSer,99-21'!J44/42</f>
        <v>250532.78571428571</v>
      </c>
      <c r="K44" s="350">
        <f>'C-SH-7A VenCombustbEstSer,99-21'!K44/42</f>
        <v>290045.35714285716</v>
      </c>
      <c r="L44" s="350">
        <f>'C-SH-7A VenCombustbEstSer,99-21'!L44/42</f>
        <v>297802.16666666669</v>
      </c>
      <c r="M44" s="350">
        <f>'C-SH-7A VenCombustbEstSer,99-21'!M44/42</f>
        <v>305339.16666666669</v>
      </c>
      <c r="N44" s="350">
        <f>'C-SH-7A VenCombustbEstSer,99-21'!N44/42</f>
        <v>337792.40476190473</v>
      </c>
      <c r="O44" s="350">
        <f>'C-SH-7A VenCombustbEstSer,99-21'!O44/42</f>
        <v>363280.26190476189</v>
      </c>
      <c r="P44" s="350">
        <f>'C-SH-7A VenCombustbEstSer,99-21'!P44/42</f>
        <v>360493</v>
      </c>
      <c r="Q44" s="350">
        <f>'C-SH-7A VenCombustbEstSer,99-21'!Q44/42</f>
        <v>344464.57142857142</v>
      </c>
      <c r="R44" s="350">
        <f>'C-SH-7A VenCombustbEstSer,99-21'!R44/42</f>
        <v>362300.71380952385</v>
      </c>
      <c r="S44" s="350">
        <f>'C-SH-7A VenCombustbEstSer,99-21'!S44/42</f>
        <v>385094.35714285716</v>
      </c>
      <c r="T44" s="350">
        <f>'C-SH-7A VenCombustbEstSer,99-21'!T44/42</f>
        <v>441084.14666666667</v>
      </c>
      <c r="U44" s="350">
        <f>'C-SH-7A VenCombustbEstSer,99-21'!U44/42</f>
        <v>433696.07999999996</v>
      </c>
      <c r="V44" s="350">
        <f>'C-SH-7A VenCombustbEstSer,99-21'!V44/42</f>
        <v>432108.55761904764</v>
      </c>
      <c r="W44" s="350">
        <f>'C-SH-7A VenCombustbEstSer,99-21'!W44/42</f>
        <v>458891.85714285716</v>
      </c>
      <c r="X44" s="350">
        <f>'C-SH-7A VenCombustbEstSer,99-21'!X44/42</f>
        <v>286446.06857142859</v>
      </c>
      <c r="Y44" s="350">
        <f>'C-SH-7A VenCombustbEstSer,99-21'!Y44/42</f>
        <v>410155.78333333333</v>
      </c>
      <c r="Z44" s="175">
        <f t="shared" ref="Z44:Z46" si="41">RATE(22,,C44,-Y44)</f>
        <v>3.0417664809542472E-2</v>
      </c>
      <c r="AA44" s="79"/>
      <c r="AB44" s="79"/>
      <c r="AC44" s="80"/>
      <c r="AF44" s="13"/>
    </row>
    <row r="45" spans="2:32" ht="15" customHeight="1" x14ac:dyDescent="0.25">
      <c r="B45" s="554" t="s">
        <v>101</v>
      </c>
      <c r="C45" s="361">
        <f>'C-SH-7A VenCombustbEstSer,99-21'!C45/42</f>
        <v>200865.11904761905</v>
      </c>
      <c r="D45" s="349">
        <f>'C-SH-7A VenCombustbEstSer,99-21'!D45/42</f>
        <v>212592.35714285713</v>
      </c>
      <c r="E45" s="350">
        <f>'C-SH-7A VenCombustbEstSer,99-21'!E45/42</f>
        <v>199278.30952380953</v>
      </c>
      <c r="F45" s="350">
        <f>'C-SH-7A VenCombustbEstSer,99-21'!F45/42</f>
        <v>213837.09523809524</v>
      </c>
      <c r="G45" s="350">
        <f>'C-SH-7A VenCombustbEstSer,99-21'!G45/42</f>
        <v>220345.52380952382</v>
      </c>
      <c r="H45" s="350">
        <f>'C-SH-7A VenCombustbEstSer,99-21'!H45/42</f>
        <v>239471.76190476189</v>
      </c>
      <c r="I45" s="350">
        <f>'C-SH-7A VenCombustbEstSer,99-21'!I45/42</f>
        <v>226980.16547619045</v>
      </c>
      <c r="J45" s="350">
        <f>'C-SH-7A VenCombustbEstSer,99-21'!J45/42</f>
        <v>246013.16666666666</v>
      </c>
      <c r="K45" s="350">
        <f>'C-SH-7A VenCombustbEstSer,99-21'!K45/42</f>
        <v>279111.92857142858</v>
      </c>
      <c r="L45" s="350">
        <f>'C-SH-7A VenCombustbEstSer,99-21'!L45/42</f>
        <v>311045.61904761905</v>
      </c>
      <c r="M45" s="350">
        <f>'C-SH-7A VenCombustbEstSer,99-21'!M45/42</f>
        <v>304230.07142857142</v>
      </c>
      <c r="N45" s="350">
        <f>'C-SH-7A VenCombustbEstSer,99-21'!N45/42</f>
        <v>346950.30952380953</v>
      </c>
      <c r="O45" s="350">
        <f>'C-SH-7A VenCombustbEstSer,99-21'!O45/42</f>
        <v>355414.30952380953</v>
      </c>
      <c r="P45" s="350">
        <f>'C-SH-7A VenCombustbEstSer,99-21'!P45/42</f>
        <v>321214.33333333331</v>
      </c>
      <c r="Q45" s="350">
        <f>'C-SH-7A VenCombustbEstSer,99-21'!Q45/42</f>
        <v>317512.54761904763</v>
      </c>
      <c r="R45" s="350">
        <f>'C-SH-7A VenCombustbEstSer,99-21'!R45/42</f>
        <v>342003.47428571427</v>
      </c>
      <c r="S45" s="350">
        <f>'C-SH-7A VenCombustbEstSer,99-21'!S45/42</f>
        <v>383102.88095238095</v>
      </c>
      <c r="T45" s="350">
        <f>'C-SH-7A VenCombustbEstSer,99-21'!T45/42</f>
        <v>397957.86904761905</v>
      </c>
      <c r="U45" s="350">
        <f>'C-SH-7A VenCombustbEstSer,99-21'!U45/42</f>
        <v>430102.43333333329</v>
      </c>
      <c r="V45" s="350">
        <f>'C-SH-7A VenCombustbEstSer,99-21'!V45/42</f>
        <v>399689.43904761906</v>
      </c>
      <c r="W45" s="350">
        <f>'C-SH-7A VenCombustbEstSer,99-21'!W45/42</f>
        <v>417725.88095238095</v>
      </c>
      <c r="X45" s="350">
        <f>'C-SH-7A VenCombustbEstSer,99-21'!X45/42</f>
        <v>340060.21071428573</v>
      </c>
      <c r="Y45" s="350">
        <f>'C-SH-7A VenCombustbEstSer,99-21'!Y45/42</f>
        <v>421703.06047619047</v>
      </c>
      <c r="Z45" s="175">
        <f t="shared" si="41"/>
        <v>3.4286867203592863E-2</v>
      </c>
      <c r="AA45" s="79"/>
      <c r="AB45" s="79"/>
      <c r="AC45" s="80"/>
      <c r="AF45" s="13"/>
    </row>
    <row r="46" spans="2:32" ht="15" customHeight="1" x14ac:dyDescent="0.25">
      <c r="B46" s="555" t="s">
        <v>117</v>
      </c>
      <c r="C46" s="373">
        <f>SUM(C43:C45)</f>
        <v>625181.83333333337</v>
      </c>
      <c r="D46" s="363">
        <f>SUM(D43:D45)</f>
        <v>655697.97619047621</v>
      </c>
      <c r="E46" s="364">
        <f>SUM(E43:E45)</f>
        <v>624724.14285714296</v>
      </c>
      <c r="F46" s="364">
        <f>SUM(F43:F45)</f>
        <v>663372.19047619053</v>
      </c>
      <c r="G46" s="364">
        <f t="shared" ref="G46:S46" si="42">+G43+G44+G45</f>
        <v>681104.76190476189</v>
      </c>
      <c r="H46" s="364">
        <f t="shared" si="42"/>
        <v>720396.35714285716</v>
      </c>
      <c r="I46" s="364">
        <f t="shared" si="42"/>
        <v>710328.8530952381</v>
      </c>
      <c r="J46" s="364">
        <f t="shared" si="42"/>
        <v>737937.35714285716</v>
      </c>
      <c r="K46" s="364">
        <f t="shared" si="42"/>
        <v>844167.5</v>
      </c>
      <c r="L46" s="401">
        <f t="shared" si="42"/>
        <v>910227.80952380958</v>
      </c>
      <c r="M46" s="401">
        <f t="shared" si="42"/>
        <v>959411.92857142864</v>
      </c>
      <c r="N46" s="401">
        <f t="shared" si="42"/>
        <v>1028166.2380952381</v>
      </c>
      <c r="O46" s="401">
        <f t="shared" si="42"/>
        <v>1081145.5476190476</v>
      </c>
      <c r="P46" s="401">
        <f t="shared" si="42"/>
        <v>1036930.1666666665</v>
      </c>
      <c r="Q46" s="401">
        <f t="shared" si="42"/>
        <v>1014064.4761904762</v>
      </c>
      <c r="R46" s="401">
        <f t="shared" si="42"/>
        <v>1062438.4585714287</v>
      </c>
      <c r="S46" s="401">
        <f t="shared" si="42"/>
        <v>1153834.2380952381</v>
      </c>
      <c r="T46" s="401">
        <f t="shared" ref="T46" si="43">+T43+T44+T45</f>
        <v>1248153.3776190476</v>
      </c>
      <c r="U46" s="401">
        <f t="shared" ref="U46:V46" si="44">+U43+U44+U45</f>
        <v>1292795.2928571429</v>
      </c>
      <c r="V46" s="401">
        <f t="shared" si="44"/>
        <v>1239647.8554761906</v>
      </c>
      <c r="W46" s="401">
        <f t="shared" ref="W46:X46" si="45">+W43+W44+W45</f>
        <v>1300506.5952380951</v>
      </c>
      <c r="X46" s="401">
        <f t="shared" si="45"/>
        <v>912250.87952380953</v>
      </c>
      <c r="Y46" s="401">
        <f t="shared" ref="Y46" si="46">+Y43+Y44+Y45</f>
        <v>1247269.0961904761</v>
      </c>
      <c r="Z46" s="687">
        <f t="shared" si="41"/>
        <v>3.189204443031754E-2</v>
      </c>
      <c r="AA46" s="81"/>
      <c r="AB46" s="81"/>
      <c r="AC46" s="82"/>
      <c r="AF46" s="13"/>
    </row>
    <row r="47" spans="2:32" ht="15" customHeight="1" x14ac:dyDescent="0.25">
      <c r="B47" s="554"/>
      <c r="C47" s="361"/>
      <c r="D47" s="349"/>
      <c r="E47" s="350"/>
      <c r="F47" s="350"/>
      <c r="G47" s="350"/>
      <c r="H47" s="350"/>
      <c r="I47" s="350"/>
      <c r="J47" s="350"/>
      <c r="K47" s="350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176"/>
      <c r="AA47" s="79"/>
      <c r="AB47" s="79"/>
      <c r="AC47" s="80"/>
      <c r="AF47" s="13"/>
    </row>
    <row r="48" spans="2:32" ht="15" customHeight="1" x14ac:dyDescent="0.25">
      <c r="B48" s="554" t="s">
        <v>95</v>
      </c>
      <c r="C48" s="361">
        <f>'C-SH-7A VenCombustbEstSer,99-21'!C48/42</f>
        <v>203753.61904761905</v>
      </c>
      <c r="D48" s="349">
        <f>'C-SH-7A VenCombustbEstSer,99-21'!D48/42</f>
        <v>213637.28571428571</v>
      </c>
      <c r="E48" s="350">
        <f>'C-SH-7A VenCombustbEstSer,99-21'!E48/42</f>
        <v>208828.09523809524</v>
      </c>
      <c r="F48" s="350">
        <f>'C-SH-7A VenCombustbEstSer,99-21'!F48/42</f>
        <v>223837.66666666666</v>
      </c>
      <c r="G48" s="350">
        <f>'C-SH-7A VenCombustbEstSer,99-21'!G48/42</f>
        <v>246783.64285714287</v>
      </c>
      <c r="H48" s="350">
        <f>'C-SH-7A VenCombustbEstSer,99-21'!H48/42</f>
        <v>227754.54761904763</v>
      </c>
      <c r="I48" s="350">
        <f>'C-SH-7A VenCombustbEstSer,99-21'!I48/42</f>
        <v>220963.58785714285</v>
      </c>
      <c r="J48" s="350">
        <f>'C-SH-7A VenCombustbEstSer,99-21'!J48/42</f>
        <v>251610.5</v>
      </c>
      <c r="K48" s="350">
        <f>'C-SH-7A VenCombustbEstSer,99-21'!K48/42</f>
        <v>319301.54761904763</v>
      </c>
      <c r="L48" s="350">
        <f>'C-SH-7A VenCombustbEstSer,99-21'!L48/42</f>
        <v>322882.59523809527</v>
      </c>
      <c r="M48" s="350">
        <f>'C-SH-7A VenCombustbEstSer,99-21'!M48/42</f>
        <v>349103.66666666669</v>
      </c>
      <c r="N48" s="350">
        <f>'C-SH-7A VenCombustbEstSer,99-21'!N48/42</f>
        <v>358555.14285714284</v>
      </c>
      <c r="O48" s="350">
        <f>'C-SH-7A VenCombustbEstSer,99-21'!O48/42</f>
        <v>370891.09523809527</v>
      </c>
      <c r="P48" s="350">
        <f>'C-SH-7A VenCombustbEstSer,99-21'!P48/42</f>
        <v>322560.02380952379</v>
      </c>
      <c r="Q48" s="350">
        <f>'C-SH-7A VenCombustbEstSer,99-21'!Q48/42</f>
        <v>339301.23809523811</v>
      </c>
      <c r="R48" s="350">
        <f>'C-SH-7A VenCombustbEstSer,99-21'!R48/42</f>
        <v>364993.87904761906</v>
      </c>
      <c r="S48" s="350">
        <f>'C-SH-7A VenCombustbEstSer,99-21'!S48/42</f>
        <v>424206.57142857142</v>
      </c>
      <c r="T48" s="350">
        <f>'C-SH-7A VenCombustbEstSer,99-21'!T48/42</f>
        <v>419454.16357142862</v>
      </c>
      <c r="U48" s="350">
        <f>'C-SH-7A VenCombustbEstSer,99-21'!U48/42</f>
        <v>414714.00380952383</v>
      </c>
      <c r="V48" s="350">
        <f>'C-SH-7A VenCombustbEstSer,99-21'!V48/42</f>
        <v>412276.01952380955</v>
      </c>
      <c r="W48" s="350">
        <f>'C-SH-7A VenCombustbEstSer,99-21'!W48/42</f>
        <v>432412.40476190473</v>
      </c>
      <c r="X48" s="350">
        <f>'C-SH-7A VenCombustbEstSer,99-21'!X48/42</f>
        <v>379841.40809523809</v>
      </c>
      <c r="Y48" s="350">
        <f>'C-SH-7A VenCombustbEstSer,99-21'!Y48/42</f>
        <v>423931.13761904766</v>
      </c>
      <c r="Z48" s="175">
        <f>RATE(22,,C48,-Y48)</f>
        <v>3.3863447824780887E-2</v>
      </c>
      <c r="AA48" s="79"/>
      <c r="AB48" s="79"/>
      <c r="AC48" s="80"/>
      <c r="AF48" s="13"/>
    </row>
    <row r="49" spans="2:32" ht="15" customHeight="1" x14ac:dyDescent="0.25">
      <c r="B49" s="554" t="s">
        <v>96</v>
      </c>
      <c r="C49" s="361">
        <f>'C-SH-7A VenCombustbEstSer,99-21'!C49/42</f>
        <v>203194.85714285713</v>
      </c>
      <c r="D49" s="349">
        <f>'C-SH-7A VenCombustbEstSer,99-21'!D49/42</f>
        <v>208646.30952380953</v>
      </c>
      <c r="E49" s="350">
        <f>'C-SH-7A VenCombustbEstSer,99-21'!E49/42</f>
        <v>216775.30952380953</v>
      </c>
      <c r="F49" s="350">
        <f>'C-SH-7A VenCombustbEstSer,99-21'!F49/42</f>
        <v>214065.11904761905</v>
      </c>
      <c r="G49" s="350">
        <f>'C-SH-7A VenCombustbEstSer,99-21'!G49/42</f>
        <v>225810.35714285713</v>
      </c>
      <c r="H49" s="350">
        <f>'C-SH-7A VenCombustbEstSer,99-21'!H49/42</f>
        <v>221702</v>
      </c>
      <c r="I49" s="350">
        <f>'C-SH-7A VenCombustbEstSer,99-21'!I49/42</f>
        <v>215286.10214285713</v>
      </c>
      <c r="J49" s="350">
        <f>'C-SH-7A VenCombustbEstSer,99-21'!J49/42</f>
        <v>228337.61904761905</v>
      </c>
      <c r="K49" s="350">
        <f>'C-SH-7A VenCombustbEstSer,99-21'!K49/42</f>
        <v>286017.38095238095</v>
      </c>
      <c r="L49" s="350">
        <f>'C-SH-7A VenCombustbEstSer,99-21'!L49/42</f>
        <v>290138.11904761905</v>
      </c>
      <c r="M49" s="350">
        <f>'C-SH-7A VenCombustbEstSer,99-21'!M49/42</f>
        <v>268801.85714285716</v>
      </c>
      <c r="N49" s="350">
        <f>'C-SH-7A VenCombustbEstSer,99-21'!N49/42</f>
        <v>311047.76190476189</v>
      </c>
      <c r="O49" s="350">
        <f>'C-SH-7A VenCombustbEstSer,99-21'!O49/42</f>
        <v>302635.04761904763</v>
      </c>
      <c r="P49" s="350">
        <f>'C-SH-7A VenCombustbEstSer,99-21'!P49/42</f>
        <v>342883.30952380953</v>
      </c>
      <c r="Q49" s="350">
        <f>'C-SH-7A VenCombustbEstSer,99-21'!Q49/42</f>
        <v>337105.52380952379</v>
      </c>
      <c r="R49" s="350">
        <f>'C-SH-7A VenCombustbEstSer,99-21'!R49/42</f>
        <v>325617.12785714283</v>
      </c>
      <c r="S49" s="350">
        <f>'C-SH-7A VenCombustbEstSer,99-21'!S49/42</f>
        <v>355636.35714285716</v>
      </c>
      <c r="T49" s="350">
        <f>'C-SH-7A VenCombustbEstSer,99-21'!T49/42</f>
        <v>376586.96785714285</v>
      </c>
      <c r="U49" s="350">
        <f>'C-SH-7A VenCombustbEstSer,99-21'!U49/42</f>
        <v>388348.82833333331</v>
      </c>
      <c r="V49" s="350">
        <f>'C-SH-7A VenCombustbEstSer,99-21'!V49/42</f>
        <v>378222.65071428573</v>
      </c>
      <c r="W49" s="350">
        <f>'C-SH-7A VenCombustbEstSer,99-21'!W49/42</f>
        <v>413113.11904761905</v>
      </c>
      <c r="X49" s="350">
        <f>'C-SH-7A VenCombustbEstSer,99-21'!X49/42</f>
        <v>349774.41190476192</v>
      </c>
      <c r="Y49" s="350">
        <f>'C-SH-7A VenCombustbEstSer,99-21'!Y49/42</f>
        <v>375671.26595238096</v>
      </c>
      <c r="Z49" s="175">
        <f t="shared" ref="Z49:Z51" si="47">RATE(22,,C49,-Y49)</f>
        <v>2.8327862197718635E-2</v>
      </c>
      <c r="AA49" s="79"/>
      <c r="AB49" s="79"/>
      <c r="AC49" s="80"/>
      <c r="AF49" s="13"/>
    </row>
    <row r="50" spans="2:32" ht="15" customHeight="1" x14ac:dyDescent="0.25">
      <c r="B50" s="554" t="s">
        <v>97</v>
      </c>
      <c r="C50" s="361">
        <f>'C-SH-7A VenCombustbEstSer,99-21'!C50/42</f>
        <v>208050.59523809524</v>
      </c>
      <c r="D50" s="349">
        <f>'C-SH-7A VenCombustbEstSer,99-21'!D50/42</f>
        <v>207643.57142857142</v>
      </c>
      <c r="E50" s="350">
        <f>'C-SH-7A VenCombustbEstSer,99-21'!E50/42</f>
        <v>213626.40476190476</v>
      </c>
      <c r="F50" s="350">
        <f>'C-SH-7A VenCombustbEstSer,99-21'!F50/42</f>
        <v>227632.90476190476</v>
      </c>
      <c r="G50" s="350">
        <f>'C-SH-7A VenCombustbEstSer,99-21'!G50/42</f>
        <v>237238.23809523811</v>
      </c>
      <c r="H50" s="350">
        <f>'C-SH-7A VenCombustbEstSer,99-21'!H50/42</f>
        <v>259228.02380952382</v>
      </c>
      <c r="I50" s="350">
        <f>'C-SH-7A VenCombustbEstSer,99-21'!I50/42</f>
        <v>268152.43190476194</v>
      </c>
      <c r="J50" s="350">
        <f>'C-SH-7A VenCombustbEstSer,99-21'!J50/42</f>
        <v>255705.09523809524</v>
      </c>
      <c r="K50" s="350">
        <f>'C-SH-7A VenCombustbEstSer,99-21'!K50/42</f>
        <v>283145.14285714284</v>
      </c>
      <c r="L50" s="350">
        <f>'C-SH-7A VenCombustbEstSer,99-21'!L50/42</f>
        <v>309871.23809523811</v>
      </c>
      <c r="M50" s="350">
        <f>'C-SH-7A VenCombustbEstSer,99-21'!M50/42</f>
        <v>347514.97619047621</v>
      </c>
      <c r="N50" s="350">
        <f>'C-SH-7A VenCombustbEstSer,99-21'!N50/42</f>
        <v>374332.64285714284</v>
      </c>
      <c r="O50" s="350">
        <f>'C-SH-7A VenCombustbEstSer,99-21'!O50/42</f>
        <v>377627.57142857142</v>
      </c>
      <c r="P50" s="350">
        <f>'C-SH-7A VenCombustbEstSer,99-21'!P50/42</f>
        <v>353630.14285714284</v>
      </c>
      <c r="Q50" s="350">
        <f>'C-SH-7A VenCombustbEstSer,99-21'!Q50/42</f>
        <v>327754.66666666669</v>
      </c>
      <c r="R50" s="350">
        <f>'C-SH-7A VenCombustbEstSer,99-21'!R50/42</f>
        <v>360153.31</v>
      </c>
      <c r="S50" s="350">
        <f>'C-SH-7A VenCombustbEstSer,99-21'!S50/42</f>
        <v>417652.64285714284</v>
      </c>
      <c r="T50" s="350">
        <f>'C-SH-7A VenCombustbEstSer,99-21'!T50/42</f>
        <v>432565.37</v>
      </c>
      <c r="U50" s="350">
        <f>'C-SH-7A VenCombustbEstSer,99-21'!U50/42</f>
        <v>427202.12428571424</v>
      </c>
      <c r="V50" s="350">
        <f>'C-SH-7A VenCombustbEstSer,99-21'!V50/42</f>
        <v>421289.80595238099</v>
      </c>
      <c r="W50" s="350">
        <f>'C-SH-7A VenCombustbEstSer,99-21'!W50/42</f>
        <v>433701.53261904762</v>
      </c>
      <c r="X50" s="350">
        <f>'C-SH-7A VenCombustbEstSer,99-21'!X50/42</f>
        <v>396632.83214285714</v>
      </c>
      <c r="Y50" s="350">
        <f>'C-SH-7A VenCombustbEstSer,99-21'!Y50/42</f>
        <v>458158.84809523809</v>
      </c>
      <c r="Z50" s="175">
        <f t="shared" si="47"/>
        <v>3.6534972748507782E-2</v>
      </c>
      <c r="AA50" s="79"/>
      <c r="AB50" s="79"/>
      <c r="AC50" s="80"/>
      <c r="AF50" s="13"/>
    </row>
    <row r="51" spans="2:32" ht="15" customHeight="1" x14ac:dyDescent="0.25">
      <c r="B51" s="555" t="s">
        <v>118</v>
      </c>
      <c r="C51" s="373">
        <f>SUM(C48:C50)</f>
        <v>614999.07142857148</v>
      </c>
      <c r="D51" s="363">
        <f>SUM(D48:D50)</f>
        <v>629927.16666666674</v>
      </c>
      <c r="E51" s="364">
        <f>SUM(E48:E50)</f>
        <v>639229.80952380947</v>
      </c>
      <c r="F51" s="364">
        <f>SUM(F48:F50)</f>
        <v>665535.69047619042</v>
      </c>
      <c r="G51" s="364">
        <f t="shared" ref="G51:S51" si="48">+G48+G49+G50</f>
        <v>709832.23809523811</v>
      </c>
      <c r="H51" s="364">
        <f t="shared" si="48"/>
        <v>708684.57142857148</v>
      </c>
      <c r="I51" s="364">
        <f t="shared" si="48"/>
        <v>704402.12190476188</v>
      </c>
      <c r="J51" s="364">
        <f t="shared" si="48"/>
        <v>735653.21428571432</v>
      </c>
      <c r="K51" s="364">
        <f t="shared" si="48"/>
        <v>888464.07142857148</v>
      </c>
      <c r="L51" s="401">
        <f t="shared" si="48"/>
        <v>922891.95238095243</v>
      </c>
      <c r="M51" s="401">
        <f t="shared" si="48"/>
        <v>965420.5</v>
      </c>
      <c r="N51" s="401">
        <f t="shared" si="48"/>
        <v>1043935.5476190476</v>
      </c>
      <c r="O51" s="401">
        <f t="shared" si="48"/>
        <v>1051153.7142857143</v>
      </c>
      <c r="P51" s="401">
        <f t="shared" si="48"/>
        <v>1019073.4761904761</v>
      </c>
      <c r="Q51" s="401">
        <f t="shared" si="48"/>
        <v>1004161.4285714286</v>
      </c>
      <c r="R51" s="401">
        <f t="shared" si="48"/>
        <v>1050764.3169047618</v>
      </c>
      <c r="S51" s="401">
        <f t="shared" si="48"/>
        <v>1197495.5714285714</v>
      </c>
      <c r="T51" s="401">
        <f t="shared" ref="T51" si="49">+T48+T49+T50</f>
        <v>1228606.5014285715</v>
      </c>
      <c r="U51" s="401">
        <f t="shared" ref="U51:V51" si="50">+U48+U49+U50</f>
        <v>1230264.9564285714</v>
      </c>
      <c r="V51" s="401">
        <f t="shared" si="50"/>
        <v>1211788.4761904762</v>
      </c>
      <c r="W51" s="401">
        <f t="shared" ref="W51:X51" si="51">+W48+W49+W50</f>
        <v>1279227.0564285715</v>
      </c>
      <c r="X51" s="401">
        <f t="shared" si="51"/>
        <v>1126248.6521428572</v>
      </c>
      <c r="Y51" s="401">
        <f t="shared" ref="Y51" si="52">+Y48+Y49+Y50</f>
        <v>1257761.2516666667</v>
      </c>
      <c r="Z51" s="687">
        <f t="shared" si="47"/>
        <v>3.3055863062812108E-2</v>
      </c>
      <c r="AA51" s="81"/>
      <c r="AB51" s="81"/>
      <c r="AC51" s="82"/>
      <c r="AF51" s="13"/>
    </row>
    <row r="52" spans="2:32" ht="15" customHeight="1" thickBot="1" x14ac:dyDescent="0.3">
      <c r="B52" s="596"/>
      <c r="C52" s="361"/>
      <c r="D52" s="349"/>
      <c r="E52" s="350"/>
      <c r="F52" s="350"/>
      <c r="G52" s="350"/>
      <c r="H52" s="350"/>
      <c r="I52" s="350"/>
      <c r="J52" s="350"/>
      <c r="K52" s="350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176"/>
      <c r="AA52" s="79"/>
      <c r="AB52" s="79"/>
      <c r="AC52" s="80"/>
      <c r="AF52" s="13"/>
    </row>
    <row r="53" spans="2:32" ht="24.9" customHeight="1" thickBot="1" x14ac:dyDescent="0.3">
      <c r="B53" s="597" t="s">
        <v>119</v>
      </c>
      <c r="C53" s="390">
        <f t="shared" ref="C53:J53" si="53">+C36+C41+C46+C51</f>
        <v>2483632.1666666665</v>
      </c>
      <c r="D53" s="391">
        <f t="shared" si="53"/>
        <v>2598373.2142857146</v>
      </c>
      <c r="E53" s="392">
        <f t="shared" si="53"/>
        <v>2555043.7142857141</v>
      </c>
      <c r="F53" s="392">
        <f t="shared" si="53"/>
        <v>2650597.3095238097</v>
      </c>
      <c r="G53" s="392">
        <f t="shared" si="53"/>
        <v>2735651.7142857141</v>
      </c>
      <c r="H53" s="392">
        <f t="shared" si="53"/>
        <v>2871133.4285714286</v>
      </c>
      <c r="I53" s="392">
        <f t="shared" si="53"/>
        <v>2869004.2316666669</v>
      </c>
      <c r="J53" s="392">
        <f t="shared" si="53"/>
        <v>2918056.199285714</v>
      </c>
      <c r="K53" s="392">
        <f t="shared" ref="K53:P53" si="54">+K36+K41+K46+K51</f>
        <v>3396382.4047619049</v>
      </c>
      <c r="L53" s="404">
        <f t="shared" si="54"/>
        <v>3622963.8571428573</v>
      </c>
      <c r="M53" s="404">
        <f t="shared" si="54"/>
        <v>3974218.0714285714</v>
      </c>
      <c r="N53" s="404">
        <f t="shared" si="54"/>
        <v>4129439</v>
      </c>
      <c r="O53" s="404">
        <f t="shared" si="54"/>
        <v>4275927.2380952379</v>
      </c>
      <c r="P53" s="404">
        <f t="shared" si="54"/>
        <v>4212441.0714285709</v>
      </c>
      <c r="Q53" s="404">
        <f t="shared" ref="Q53:V53" si="55">+Q36+Q41+Q46+Q51</f>
        <v>4076501.5476190476</v>
      </c>
      <c r="R53" s="404">
        <f t="shared" si="55"/>
        <v>4251785.9654761897</v>
      </c>
      <c r="S53" s="404">
        <f t="shared" si="55"/>
        <v>4605317.3571428563</v>
      </c>
      <c r="T53" s="404">
        <f t="shared" si="55"/>
        <v>4936939.6183333341</v>
      </c>
      <c r="U53" s="404">
        <f t="shared" si="55"/>
        <v>5089038.42</v>
      </c>
      <c r="V53" s="404">
        <f t="shared" si="55"/>
        <v>4936651.4861904755</v>
      </c>
      <c r="W53" s="404">
        <f t="shared" ref="W53:X53" si="56">+W36+W41+W46+W51</f>
        <v>5220354.0059523806</v>
      </c>
      <c r="X53" s="404">
        <f t="shared" si="56"/>
        <v>3874887.5802380955</v>
      </c>
      <c r="Y53" s="404">
        <f t="shared" ref="Y53" si="57">+Y36+Y41+Y46+Y51</f>
        <v>4883805.5273809526</v>
      </c>
      <c r="Z53" s="762">
        <f>RATE(22,,C53,-Y53)</f>
        <v>3.121372756407147E-2</v>
      </c>
      <c r="AA53" s="81"/>
      <c r="AB53" s="81"/>
      <c r="AC53" s="82"/>
      <c r="AF53" s="13"/>
    </row>
    <row r="54" spans="2:32" ht="15" customHeight="1" thickBot="1" x14ac:dyDescent="0.3"/>
    <row r="55" spans="2:32" ht="15" customHeight="1" x14ac:dyDescent="0.25">
      <c r="B55" s="922" t="s">
        <v>100</v>
      </c>
      <c r="C55" s="922" t="s">
        <v>143</v>
      </c>
      <c r="D55" s="933"/>
      <c r="E55" s="933"/>
      <c r="F55" s="933"/>
      <c r="G55" s="933"/>
      <c r="H55" s="933"/>
      <c r="I55" s="933"/>
      <c r="J55" s="933"/>
      <c r="K55" s="933"/>
      <c r="L55" s="933"/>
      <c r="M55" s="933"/>
      <c r="N55" s="933"/>
      <c r="O55" s="933"/>
      <c r="P55" s="933"/>
      <c r="Q55" s="933"/>
      <c r="R55" s="933"/>
      <c r="S55" s="933"/>
      <c r="T55" s="933"/>
      <c r="U55" s="933"/>
      <c r="V55" s="933"/>
      <c r="W55" s="933"/>
      <c r="X55" s="933"/>
      <c r="Y55" s="933"/>
      <c r="Z55" s="934"/>
      <c r="AA55" s="298"/>
      <c r="AB55" s="35"/>
      <c r="AC55" s="35"/>
      <c r="AD55" s="35"/>
      <c r="AE55" s="35"/>
      <c r="AF55" s="35"/>
    </row>
    <row r="56" spans="2:32" ht="45" customHeight="1" thickBot="1" x14ac:dyDescent="0.3">
      <c r="B56" s="923"/>
      <c r="C56" s="590">
        <v>1999</v>
      </c>
      <c r="D56" s="588">
        <v>2000</v>
      </c>
      <c r="E56" s="588">
        <v>2001</v>
      </c>
      <c r="F56" s="588">
        <v>2002</v>
      </c>
      <c r="G56" s="588">
        <v>2003</v>
      </c>
      <c r="H56" s="588">
        <v>2004</v>
      </c>
      <c r="I56" s="588">
        <v>2005</v>
      </c>
      <c r="J56" s="588">
        <v>2006</v>
      </c>
      <c r="K56" s="586">
        <v>2007</v>
      </c>
      <c r="L56" s="588">
        <v>2008</v>
      </c>
      <c r="M56" s="588">
        <v>2009</v>
      </c>
      <c r="N56" s="589">
        <v>2010</v>
      </c>
      <c r="O56" s="589">
        <v>2011</v>
      </c>
      <c r="P56" s="589">
        <v>2012</v>
      </c>
      <c r="Q56" s="589">
        <v>2013</v>
      </c>
      <c r="R56" s="589">
        <v>2014</v>
      </c>
      <c r="S56" s="589">
        <v>2015</v>
      </c>
      <c r="T56" s="738">
        <v>2016</v>
      </c>
      <c r="U56" s="756">
        <v>2017</v>
      </c>
      <c r="V56" s="769">
        <v>2018</v>
      </c>
      <c r="W56" s="788">
        <v>2019</v>
      </c>
      <c r="X56" s="805">
        <v>2020</v>
      </c>
      <c r="Y56" s="834">
        <v>2021</v>
      </c>
      <c r="Z56" s="598" t="s">
        <v>308</v>
      </c>
      <c r="AA56" s="31"/>
      <c r="AB56" s="31"/>
      <c r="AC56" s="31"/>
      <c r="AD56" s="31"/>
      <c r="AE56" s="31"/>
      <c r="AF56" s="52"/>
    </row>
    <row r="57" spans="2:32" ht="15" customHeight="1" x14ac:dyDescent="0.25">
      <c r="B57" s="558"/>
      <c r="C57" s="405"/>
      <c r="D57" s="406"/>
      <c r="E57" s="407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174"/>
      <c r="AA57" s="79"/>
      <c r="AB57" s="79"/>
      <c r="AC57" s="79"/>
      <c r="AD57" s="79"/>
      <c r="AE57" s="79"/>
      <c r="AF57" s="177"/>
    </row>
    <row r="58" spans="2:32" ht="15" customHeight="1" x14ac:dyDescent="0.25">
      <c r="B58" s="554" t="s">
        <v>86</v>
      </c>
      <c r="C58" s="396">
        <f>'C-SH-7A VenCombustbEstSer,99-21'!C58/42</f>
        <v>2664.0476190476193</v>
      </c>
      <c r="D58" s="397">
        <f>'C-SH-7A VenCombustbEstSer,99-21'!D58/42</f>
        <v>2099.4047619047619</v>
      </c>
      <c r="E58" s="398">
        <f>'C-SH-7A VenCombustbEstSer,99-21'!E58/42</f>
        <v>1882.8809523809523</v>
      </c>
      <c r="F58" s="398">
        <f>'C-SH-7A VenCombustbEstSer,99-21'!F58/42</f>
        <v>1814.2142857142858</v>
      </c>
      <c r="G58" s="398">
        <f>'C-SH-7A VenCombustbEstSer,99-21'!G58/42</f>
        <v>1522.5714285714287</v>
      </c>
      <c r="H58" s="398">
        <f>'C-SH-7A VenCombustbEstSer,99-21'!H58/42</f>
        <v>1219.7857142857142</v>
      </c>
      <c r="I58" s="398">
        <f>'C-SH-7A VenCombustbEstSer,99-21'!I58/42</f>
        <v>2317.9047619047619</v>
      </c>
      <c r="J58" s="398">
        <f>'C-SH-7A VenCombustbEstSer,99-21'!J58/42</f>
        <v>736.04761904761904</v>
      </c>
      <c r="K58" s="398">
        <f>'C-SH-7A VenCombustbEstSer,99-21'!K58/42</f>
        <v>822.02380952380952</v>
      </c>
      <c r="L58" s="398">
        <f>'C-SH-7A VenCombustbEstSer,99-21'!L58/42</f>
        <v>616</v>
      </c>
      <c r="M58" s="398">
        <f>'C-SH-7A VenCombustbEstSer,99-21'!M58/42</f>
        <v>336.35714285714283</v>
      </c>
      <c r="N58" s="398">
        <f>'C-SH-7A VenCombustbEstSer,99-21'!N58/42</f>
        <v>447.90476190476193</v>
      </c>
      <c r="O58" s="398">
        <f>'C-SH-7A VenCombustbEstSer,99-21'!O58/42</f>
        <v>386.6904761904762</v>
      </c>
      <c r="P58" s="398">
        <f>'C-SH-7A VenCombustbEstSer,99-21'!P58/42</f>
        <v>532.97619047619048</v>
      </c>
      <c r="Q58" s="398">
        <f>'C-SH-7A VenCombustbEstSer,99-21'!Q58/42</f>
        <v>453.73809523809524</v>
      </c>
      <c r="R58" s="398">
        <f>'C-SH-7A VenCombustbEstSer,99-21'!R58/42</f>
        <v>698.79142857142858</v>
      </c>
      <c r="S58" s="398">
        <f>'C-SH-7A VenCombustbEstSer,99-21'!S58/42</f>
        <v>614.85714285714289</v>
      </c>
      <c r="T58" s="398">
        <f>'C-SH-7A VenCombustbEstSer,99-21'!T58/42</f>
        <v>343.59238095238095</v>
      </c>
      <c r="U58" s="398">
        <f>'C-SH-7A VenCombustbEstSer,99-21'!U58/42</f>
        <v>353.85738095238094</v>
      </c>
      <c r="V58" s="398">
        <f>'C-SH-7A VenCombustbEstSer,99-21'!V58/42</f>
        <v>60.254761904761899</v>
      </c>
      <c r="W58" s="398">
        <f>'C-SH-7A VenCombustbEstSer,99-21'!W58/42</f>
        <v>326.5595238095238</v>
      </c>
      <c r="X58" s="398">
        <f>'C-SH-7A VenCombustbEstSer,99-21'!X58/42</f>
        <v>303.29214285714289</v>
      </c>
      <c r="Y58" s="398">
        <f>'C-SH-7A VenCombustbEstSer,99-21'!Y58/42</f>
        <v>390.88904761904763</v>
      </c>
      <c r="Z58" s="175">
        <f>RATE(22,,C58,-Y58)</f>
        <v>-8.3538637779071293E-2</v>
      </c>
      <c r="AA58" s="79"/>
      <c r="AB58" s="79"/>
      <c r="AC58" s="79"/>
      <c r="AD58" s="79"/>
      <c r="AE58" s="79"/>
      <c r="AF58" s="177"/>
    </row>
    <row r="59" spans="2:32" ht="15" customHeight="1" x14ac:dyDescent="0.25">
      <c r="B59" s="554" t="s">
        <v>87</v>
      </c>
      <c r="C59" s="396">
        <f>'C-SH-7A VenCombustbEstSer,99-21'!C59/42</f>
        <v>2471.0238095238096</v>
      </c>
      <c r="D59" s="397">
        <f>'C-SH-7A VenCombustbEstSer,99-21'!D59/42</f>
        <v>2441.7857142857142</v>
      </c>
      <c r="E59" s="398">
        <f>'C-SH-7A VenCombustbEstSer,99-21'!E59/42</f>
        <v>1336.0238095238096</v>
      </c>
      <c r="F59" s="398">
        <f>'C-SH-7A VenCombustbEstSer,99-21'!F59/42</f>
        <v>1622.8571428571429</v>
      </c>
      <c r="G59" s="398">
        <f>'C-SH-7A VenCombustbEstSer,99-21'!G59/42</f>
        <v>1557.6666666666667</v>
      </c>
      <c r="H59" s="398">
        <f>'C-SH-7A VenCombustbEstSer,99-21'!H59/42</f>
        <v>990.11904761904759</v>
      </c>
      <c r="I59" s="398">
        <f>'C-SH-7A VenCombustbEstSer,99-21'!I59/42</f>
        <v>1328.3571428571429</v>
      </c>
      <c r="J59" s="398">
        <f>'C-SH-7A VenCombustbEstSer,99-21'!J59/42</f>
        <v>646.47619047619048</v>
      </c>
      <c r="K59" s="398">
        <f>'C-SH-7A VenCombustbEstSer,99-21'!K59/42</f>
        <v>713.73809523809518</v>
      </c>
      <c r="L59" s="398">
        <f>'C-SH-7A VenCombustbEstSer,99-21'!L59/42</f>
        <v>533.54761904761904</v>
      </c>
      <c r="M59" s="398">
        <f>'C-SH-7A VenCombustbEstSer,99-21'!M59/42</f>
        <v>388.66666666666669</v>
      </c>
      <c r="N59" s="398">
        <f>'C-SH-7A VenCombustbEstSer,99-21'!N59/42</f>
        <v>418.14285714285717</v>
      </c>
      <c r="O59" s="398">
        <f>'C-SH-7A VenCombustbEstSer,99-21'!O59/42</f>
        <v>469.90476190476193</v>
      </c>
      <c r="P59" s="398">
        <f>'C-SH-7A VenCombustbEstSer,99-21'!P59/42</f>
        <v>384.16666666666669</v>
      </c>
      <c r="Q59" s="398">
        <f>'C-SH-7A VenCombustbEstSer,99-21'!Q59/42</f>
        <v>408.97619047619048</v>
      </c>
      <c r="R59" s="398">
        <f>'C-SH-7A VenCombustbEstSer,99-21'!R59/42</f>
        <v>670.85</v>
      </c>
      <c r="S59" s="398">
        <f>'C-SH-7A VenCombustbEstSer,99-21'!S59/42</f>
        <v>449.14285714285717</v>
      </c>
      <c r="T59" s="398">
        <f>'C-SH-7A VenCombustbEstSer,99-21'!T59/42</f>
        <v>212.78476190476189</v>
      </c>
      <c r="U59" s="398">
        <f>'C-SH-7A VenCombustbEstSer,99-21'!U59/42</f>
        <v>262.34738095238095</v>
      </c>
      <c r="V59" s="398">
        <f>'C-SH-7A VenCombustbEstSer,99-21'!V59/42</f>
        <v>256.93285714285713</v>
      </c>
      <c r="W59" s="398">
        <f>'C-SH-7A VenCombustbEstSer,99-21'!W59/42</f>
        <v>290.77380952380952</v>
      </c>
      <c r="X59" s="398">
        <f>'C-SH-7A VenCombustbEstSer,99-21'!X59/42</f>
        <v>277.68571428571425</v>
      </c>
      <c r="Y59" s="398">
        <f>'C-SH-7A VenCombustbEstSer,99-21'!Y59/42</f>
        <v>382.40452380952382</v>
      </c>
      <c r="Z59" s="175">
        <f t="shared" ref="Z59:Z61" si="58">RATE(22,,C59,-Y59)</f>
        <v>-8.131689109653055E-2</v>
      </c>
      <c r="AA59" s="79"/>
      <c r="AB59" s="79"/>
      <c r="AC59" s="79"/>
      <c r="AD59" s="79"/>
      <c r="AE59" s="79"/>
      <c r="AF59" s="177"/>
    </row>
    <row r="60" spans="2:32" ht="15" customHeight="1" x14ac:dyDescent="0.25">
      <c r="B60" s="554" t="s">
        <v>88</v>
      </c>
      <c r="C60" s="396">
        <f>'C-SH-7A VenCombustbEstSer,99-21'!C60/42</f>
        <v>2689.7619047619046</v>
      </c>
      <c r="D60" s="397">
        <f>'C-SH-7A VenCombustbEstSer,99-21'!D60/42</f>
        <v>2170.1666666666665</v>
      </c>
      <c r="E60" s="398">
        <f>'C-SH-7A VenCombustbEstSer,99-21'!E60/42</f>
        <v>1735.7142857142858</v>
      </c>
      <c r="F60" s="398">
        <f>'C-SH-7A VenCombustbEstSer,99-21'!F60/42</f>
        <v>1631.452380952381</v>
      </c>
      <c r="G60" s="398">
        <f>'C-SH-7A VenCombustbEstSer,99-21'!G60/42</f>
        <v>1421.5952380952381</v>
      </c>
      <c r="H60" s="398">
        <f>'C-SH-7A VenCombustbEstSer,99-21'!H60/42</f>
        <v>1227.0714285714287</v>
      </c>
      <c r="I60" s="398">
        <f>'C-SH-7A VenCombustbEstSer,99-21'!I60/42</f>
        <v>1467.4285714285713</v>
      </c>
      <c r="J60" s="398">
        <f>'C-SH-7A VenCombustbEstSer,99-21'!J60/42</f>
        <v>741.42857142857144</v>
      </c>
      <c r="K60" s="398">
        <f>'C-SH-7A VenCombustbEstSer,99-21'!K60/42</f>
        <v>910.85714285714289</v>
      </c>
      <c r="L60" s="398">
        <f>'C-SH-7A VenCombustbEstSer,99-21'!L60/42</f>
        <v>516.92857142857144</v>
      </c>
      <c r="M60" s="398">
        <f>'C-SH-7A VenCombustbEstSer,99-21'!M60/42</f>
        <v>418.11904761904759</v>
      </c>
      <c r="N60" s="398">
        <f>'C-SH-7A VenCombustbEstSer,99-21'!N60/42</f>
        <v>537.92857142857144</v>
      </c>
      <c r="O60" s="398">
        <f>'C-SH-7A VenCombustbEstSer,99-21'!O60/42</f>
        <v>411.66666666666669</v>
      </c>
      <c r="P60" s="398">
        <f>'C-SH-7A VenCombustbEstSer,99-21'!P60/42</f>
        <v>427.92857142857144</v>
      </c>
      <c r="Q60" s="398">
        <f>'C-SH-7A VenCombustbEstSer,99-21'!Q60/42</f>
        <v>578.28571428571433</v>
      </c>
      <c r="R60" s="398">
        <f>'C-SH-7A VenCombustbEstSer,99-21'!R60/42</f>
        <v>594.84619047619049</v>
      </c>
      <c r="S60" s="398">
        <f>'C-SH-7A VenCombustbEstSer,99-21'!S60/42</f>
        <v>501.90476190476193</v>
      </c>
      <c r="T60" s="398">
        <f>'C-SH-7A VenCombustbEstSer,99-21'!T60/42</f>
        <v>237.20809523809524</v>
      </c>
      <c r="U60" s="398">
        <f>'C-SH-7A VenCombustbEstSer,99-21'!U60/42</f>
        <v>305.14738095238096</v>
      </c>
      <c r="V60" s="398">
        <f>'C-SH-7A VenCombustbEstSer,99-21'!V60/42</f>
        <v>370.25428571428574</v>
      </c>
      <c r="W60" s="398">
        <f>'C-SH-7A VenCombustbEstSer,99-21'!W60/42</f>
        <v>297.5595238095238</v>
      </c>
      <c r="X60" s="398">
        <f>'C-SH-7A VenCombustbEstSer,99-21'!X60/42</f>
        <v>227.65595238095236</v>
      </c>
      <c r="Y60" s="398">
        <f>'C-SH-7A VenCombustbEstSer,99-21'!Y60/42</f>
        <v>457.34500000000003</v>
      </c>
      <c r="Z60" s="175">
        <f t="shared" si="58"/>
        <v>-7.7377385750268743E-2</v>
      </c>
      <c r="AA60" s="79"/>
      <c r="AB60" s="79"/>
      <c r="AC60" s="79"/>
      <c r="AD60" s="79"/>
      <c r="AE60" s="79"/>
      <c r="AF60" s="177"/>
    </row>
    <row r="61" spans="2:32" ht="15" customHeight="1" x14ac:dyDescent="0.25">
      <c r="B61" s="555" t="s">
        <v>115</v>
      </c>
      <c r="C61" s="409">
        <f t="shared" ref="C61:K61" si="59">SUM(C58:C60)</f>
        <v>7824.8333333333339</v>
      </c>
      <c r="D61" s="410">
        <f t="shared" si="59"/>
        <v>6711.3571428571431</v>
      </c>
      <c r="E61" s="411">
        <f t="shared" si="59"/>
        <v>4954.6190476190477</v>
      </c>
      <c r="F61" s="411">
        <f t="shared" si="59"/>
        <v>5068.5238095238092</v>
      </c>
      <c r="G61" s="411">
        <f t="shared" si="59"/>
        <v>4501.8333333333339</v>
      </c>
      <c r="H61" s="411">
        <f t="shared" si="59"/>
        <v>3436.9761904761908</v>
      </c>
      <c r="I61" s="411">
        <f t="shared" si="59"/>
        <v>5113.6904761904761</v>
      </c>
      <c r="J61" s="411">
        <f t="shared" si="59"/>
        <v>2123.9523809523812</v>
      </c>
      <c r="K61" s="411">
        <f t="shared" si="59"/>
        <v>2446.6190476190477</v>
      </c>
      <c r="L61" s="401">
        <f t="shared" ref="L61:S61" si="60">+L58+L59+L60</f>
        <v>1666.4761904761904</v>
      </c>
      <c r="M61" s="401">
        <f t="shared" si="60"/>
        <v>1143.1428571428571</v>
      </c>
      <c r="N61" s="401">
        <f t="shared" si="60"/>
        <v>1403.9761904761904</v>
      </c>
      <c r="O61" s="401">
        <f t="shared" si="60"/>
        <v>1268.2619047619048</v>
      </c>
      <c r="P61" s="401">
        <f t="shared" si="60"/>
        <v>1345.0714285714284</v>
      </c>
      <c r="Q61" s="401">
        <f t="shared" si="60"/>
        <v>1441</v>
      </c>
      <c r="R61" s="401">
        <f t="shared" si="60"/>
        <v>1964.4876190476191</v>
      </c>
      <c r="S61" s="401">
        <f t="shared" si="60"/>
        <v>1565.9047619047619</v>
      </c>
      <c r="T61" s="401">
        <f t="shared" ref="T61" si="61">+T58+T59+T60</f>
        <v>793.58523809523808</v>
      </c>
      <c r="U61" s="401">
        <f t="shared" ref="U61:V61" si="62">+U58+U59+U60</f>
        <v>921.35214285714278</v>
      </c>
      <c r="V61" s="401">
        <f t="shared" si="62"/>
        <v>687.44190476190477</v>
      </c>
      <c r="W61" s="401">
        <f t="shared" ref="W61:X61" si="63">+W58+W59+W60</f>
        <v>914.89285714285711</v>
      </c>
      <c r="X61" s="401">
        <f t="shared" si="63"/>
        <v>808.63380952380953</v>
      </c>
      <c r="Y61" s="401">
        <f t="shared" ref="Y61" si="64">+Y58+Y59+Y60</f>
        <v>1230.6385714285716</v>
      </c>
      <c r="Z61" s="687">
        <f t="shared" si="58"/>
        <v>-8.0642681529414451E-2</v>
      </c>
      <c r="AA61" s="81"/>
      <c r="AB61" s="81"/>
      <c r="AC61" s="81"/>
      <c r="AD61" s="81"/>
      <c r="AE61" s="81"/>
      <c r="AF61" s="151"/>
    </row>
    <row r="62" spans="2:32" ht="15" customHeight="1" x14ac:dyDescent="0.25">
      <c r="B62" s="554"/>
      <c r="C62" s="412"/>
      <c r="D62" s="413"/>
      <c r="E62" s="414"/>
      <c r="F62" s="414"/>
      <c r="G62" s="414"/>
      <c r="H62" s="414"/>
      <c r="I62" s="414"/>
      <c r="J62" s="414"/>
      <c r="K62" s="414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810"/>
      <c r="AA62" s="79"/>
      <c r="AB62" s="79"/>
      <c r="AC62" s="79"/>
      <c r="AD62" s="79"/>
      <c r="AE62" s="79"/>
      <c r="AF62" s="177"/>
    </row>
    <row r="63" spans="2:32" ht="15" customHeight="1" x14ac:dyDescent="0.25">
      <c r="B63" s="554" t="s">
        <v>89</v>
      </c>
      <c r="C63" s="396">
        <f>'C-SH-7A VenCombustbEstSer,99-21'!C63/42</f>
        <v>2369.3571428571427</v>
      </c>
      <c r="D63" s="397">
        <f>'C-SH-7A VenCombustbEstSer,99-21'!D63/42</f>
        <v>1751</v>
      </c>
      <c r="E63" s="398">
        <f>'C-SH-7A VenCombustbEstSer,99-21'!E63/42</f>
        <v>1695.3571428571429</v>
      </c>
      <c r="F63" s="398">
        <f>'C-SH-7A VenCombustbEstSer,99-21'!F63/42</f>
        <v>1838.2619047619048</v>
      </c>
      <c r="G63" s="398">
        <f>'C-SH-7A VenCombustbEstSer,99-21'!G63/42</f>
        <v>1549.452380952381</v>
      </c>
      <c r="H63" s="398">
        <f>'C-SH-7A VenCombustbEstSer,99-21'!H63/42</f>
        <v>1176.952380952381</v>
      </c>
      <c r="I63" s="398">
        <f>'C-SH-7A VenCombustbEstSer,99-21'!I63/42</f>
        <v>1645.4190476190477</v>
      </c>
      <c r="J63" s="398">
        <f>'C-SH-7A VenCombustbEstSer,99-21'!J63/42</f>
        <v>699.61904761904759</v>
      </c>
      <c r="K63" s="398">
        <f>'C-SH-7A VenCombustbEstSer,99-21'!K63/42</f>
        <v>801.92857142857144</v>
      </c>
      <c r="L63" s="398">
        <f>'C-SH-7A VenCombustbEstSer,99-21'!L63/42</f>
        <v>596.14285714285711</v>
      </c>
      <c r="M63" s="398">
        <f>'C-SH-7A VenCombustbEstSer,99-21'!M63/42</f>
        <v>455.11904761904759</v>
      </c>
      <c r="N63" s="398">
        <f>'C-SH-7A VenCombustbEstSer,99-21'!N63/42</f>
        <v>431.23809523809524</v>
      </c>
      <c r="O63" s="398">
        <f>'C-SH-7A VenCombustbEstSer,99-21'!O63/42</f>
        <v>386.02380952380952</v>
      </c>
      <c r="P63" s="398">
        <f>'C-SH-7A VenCombustbEstSer,99-21'!P63/42</f>
        <v>434.92857142857144</v>
      </c>
      <c r="Q63" s="398">
        <f>'C-SH-7A VenCombustbEstSer,99-21'!Q63/42</f>
        <v>615.26190476190482</v>
      </c>
      <c r="R63" s="398">
        <f>'C-SH-7A VenCombustbEstSer,99-21'!R63/42</f>
        <v>613.76523809523803</v>
      </c>
      <c r="S63" s="398">
        <f>'C-SH-7A VenCombustbEstSer,99-21'!S63/42</f>
        <v>588.28571428571433</v>
      </c>
      <c r="T63" s="398">
        <f>'C-SH-7A VenCombustbEstSer,99-21'!T63/42</f>
        <v>406.56309523809529</v>
      </c>
      <c r="U63" s="398">
        <f>'C-SH-7A VenCombustbEstSer,99-21'!U63/42</f>
        <v>249.25761904761904</v>
      </c>
      <c r="V63" s="398">
        <f>'C-SH-7A VenCombustbEstSer,99-21'!V63/42</f>
        <v>280.10095238095238</v>
      </c>
      <c r="W63" s="398">
        <f>'C-SH-7A VenCombustbEstSer,99-21'!W63/42</f>
        <v>325.85714285714283</v>
      </c>
      <c r="X63" s="398">
        <f>'C-SH-7A VenCombustbEstSer,99-21'!X63/42</f>
        <v>233.6845238095238</v>
      </c>
      <c r="Y63" s="398">
        <f>'C-SH-7A VenCombustbEstSer,99-21'!Y63/42</f>
        <v>373.48309523809525</v>
      </c>
      <c r="Z63" s="175">
        <f>RATE(22,,C63,-Y63)</f>
        <v>-8.054789792222089E-2</v>
      </c>
      <c r="AA63" s="79"/>
      <c r="AB63" s="79"/>
      <c r="AC63" s="79"/>
      <c r="AD63" s="79"/>
      <c r="AE63" s="79"/>
      <c r="AF63" s="177"/>
    </row>
    <row r="64" spans="2:32" ht="15" customHeight="1" x14ac:dyDescent="0.25">
      <c r="B64" s="554" t="s">
        <v>90</v>
      </c>
      <c r="C64" s="396">
        <f>'C-SH-7A VenCombustbEstSer,99-21'!C64/42</f>
        <v>2459.1190476190477</v>
      </c>
      <c r="D64" s="397">
        <f>'C-SH-7A VenCombustbEstSer,99-21'!D64/42</f>
        <v>1861.3571428571429</v>
      </c>
      <c r="E64" s="398">
        <f>'C-SH-7A VenCombustbEstSer,99-21'!E64/42</f>
        <v>1571.952380952381</v>
      </c>
      <c r="F64" s="398">
        <f>'C-SH-7A VenCombustbEstSer,99-21'!F64/42</f>
        <v>1738.2619047619048</v>
      </c>
      <c r="G64" s="398">
        <f>'C-SH-7A VenCombustbEstSer,99-21'!G64/42</f>
        <v>1463.5238095238096</v>
      </c>
      <c r="H64" s="398">
        <f>'C-SH-7A VenCombustbEstSer,99-21'!H64/42</f>
        <v>873.69047619047615</v>
      </c>
      <c r="I64" s="398">
        <f>'C-SH-7A VenCombustbEstSer,99-21'!I64/42</f>
        <v>1697.1</v>
      </c>
      <c r="J64" s="398">
        <f>'C-SH-7A VenCombustbEstSer,99-21'!J64/42</f>
        <v>702.33333333333337</v>
      </c>
      <c r="K64" s="398">
        <f>'C-SH-7A VenCombustbEstSer,99-21'!K64/42</f>
        <v>847.02380952380952</v>
      </c>
      <c r="L64" s="398">
        <f>'C-SH-7A VenCombustbEstSer,99-21'!L64/42</f>
        <v>479.1904761904762</v>
      </c>
      <c r="M64" s="398">
        <f>'C-SH-7A VenCombustbEstSer,99-21'!M64/42</f>
        <v>499.52380952380952</v>
      </c>
      <c r="N64" s="398">
        <f>'C-SH-7A VenCombustbEstSer,99-21'!N64/42</f>
        <v>524.76190476190482</v>
      </c>
      <c r="O64" s="398">
        <f>'C-SH-7A VenCombustbEstSer,99-21'!O64/42</f>
        <v>420.11904761904759</v>
      </c>
      <c r="P64" s="398">
        <f>'C-SH-7A VenCombustbEstSer,99-21'!P64/42</f>
        <v>486.57142857142856</v>
      </c>
      <c r="Q64" s="398">
        <f>'C-SH-7A VenCombustbEstSer,99-21'!Q64/42</f>
        <v>821.28571428571433</v>
      </c>
      <c r="R64" s="398">
        <f>'C-SH-7A VenCombustbEstSer,99-21'!R64/42</f>
        <v>329.10380952380956</v>
      </c>
      <c r="S64" s="398">
        <f>'C-SH-7A VenCombustbEstSer,99-21'!S64/42</f>
        <v>385.54761904761904</v>
      </c>
      <c r="T64" s="398">
        <f>'C-SH-7A VenCombustbEstSer,99-21'!T64/42</f>
        <v>307.65047619047618</v>
      </c>
      <c r="U64" s="398">
        <f>'C-SH-7A VenCombustbEstSer,99-21'!U64/42</f>
        <v>308.86166666666668</v>
      </c>
      <c r="V64" s="398">
        <f>'C-SH-7A VenCombustbEstSer,99-21'!V64/42</f>
        <v>343.03476190476187</v>
      </c>
      <c r="W64" s="398">
        <f>'C-SH-7A VenCombustbEstSer,99-21'!W64/42</f>
        <v>350.82142857142856</v>
      </c>
      <c r="X64" s="398">
        <f>'C-SH-7A VenCombustbEstSer,99-21'!X64/42</f>
        <v>451.10785714285714</v>
      </c>
      <c r="Y64" s="398">
        <f>'C-SH-7A VenCombustbEstSer,99-21'!Y64/42</f>
        <v>482.54690476190478</v>
      </c>
      <c r="Z64" s="175">
        <f t="shared" ref="Z64:Z66" si="65">RATE(22,,C64,-Y64)</f>
        <v>-7.1348581629361862E-2</v>
      </c>
      <c r="AA64" s="79"/>
      <c r="AB64" s="79"/>
      <c r="AC64" s="79"/>
      <c r="AD64" s="79"/>
      <c r="AE64" s="79"/>
      <c r="AF64" s="177"/>
    </row>
    <row r="65" spans="2:32" ht="15" customHeight="1" x14ac:dyDescent="0.25">
      <c r="B65" s="554" t="s">
        <v>91</v>
      </c>
      <c r="C65" s="396">
        <f>'C-SH-7A VenCombustbEstSer,99-21'!C65/42</f>
        <v>2394.2142857142858</v>
      </c>
      <c r="D65" s="397">
        <f>'C-SH-7A VenCombustbEstSer,99-21'!D65/42</f>
        <v>1779.4285714285713</v>
      </c>
      <c r="E65" s="398">
        <f>'C-SH-7A VenCombustbEstSer,99-21'!E65/42</f>
        <v>1676.5952380952381</v>
      </c>
      <c r="F65" s="398">
        <f>'C-SH-7A VenCombustbEstSer,99-21'!F65/42</f>
        <v>1458.6666666666667</v>
      </c>
      <c r="G65" s="398">
        <f>'C-SH-7A VenCombustbEstSer,99-21'!G65/42</f>
        <v>1439.2142857142858</v>
      </c>
      <c r="H65" s="398">
        <f>'C-SH-7A VenCombustbEstSer,99-21'!H65/42</f>
        <v>998.47619047619048</v>
      </c>
      <c r="I65" s="398">
        <f>'C-SH-7A VenCombustbEstSer,99-21'!I65/42</f>
        <v>2078.6452380952383</v>
      </c>
      <c r="J65" s="398">
        <f>'C-SH-7A VenCombustbEstSer,99-21'!J65/42</f>
        <v>705.71428571428567</v>
      </c>
      <c r="K65" s="398">
        <f>'C-SH-7A VenCombustbEstSer,99-21'!K65/42</f>
        <v>651.04761904761904</v>
      </c>
      <c r="L65" s="398">
        <f>'C-SH-7A VenCombustbEstSer,99-21'!L65/42</f>
        <v>439.52380952380952</v>
      </c>
      <c r="M65" s="398">
        <f>'C-SH-7A VenCombustbEstSer,99-21'!M65/42</f>
        <v>441.02380952380952</v>
      </c>
      <c r="N65" s="398">
        <f>'C-SH-7A VenCombustbEstSer,99-21'!N65/42</f>
        <v>811.30952380952385</v>
      </c>
      <c r="O65" s="398">
        <f>'C-SH-7A VenCombustbEstSer,99-21'!O65/42</f>
        <v>424.8095238095238</v>
      </c>
      <c r="P65" s="398">
        <f>'C-SH-7A VenCombustbEstSer,99-21'!P65/42</f>
        <v>431.78571428571428</v>
      </c>
      <c r="Q65" s="398">
        <f>'C-SH-7A VenCombustbEstSer,99-21'!Q65/42</f>
        <v>631.07142857142856</v>
      </c>
      <c r="R65" s="398">
        <f>'C-SH-7A VenCombustbEstSer,99-21'!R65/42</f>
        <v>452.38714285714281</v>
      </c>
      <c r="S65" s="398">
        <f>'C-SH-7A VenCombustbEstSer,99-21'!S65/42</f>
        <v>547.11904761904759</v>
      </c>
      <c r="T65" s="398">
        <f>'C-SH-7A VenCombustbEstSer,99-21'!T65/42</f>
        <v>294.09095238095239</v>
      </c>
      <c r="U65" s="398">
        <f>'C-SH-7A VenCombustbEstSer,99-21'!U65/42</f>
        <v>297.8854761904762</v>
      </c>
      <c r="V65" s="398">
        <f>'C-SH-7A VenCombustbEstSer,99-21'!V65/42</f>
        <v>199.93809523809523</v>
      </c>
      <c r="W65" s="398">
        <f>'C-SH-7A VenCombustbEstSer,99-21'!W65/42</f>
        <v>277.91666666666669</v>
      </c>
      <c r="X65" s="398">
        <f>'C-SH-7A VenCombustbEstSer,99-21'!X65/42</f>
        <v>376.20142857142855</v>
      </c>
      <c r="Y65" s="398">
        <f>'C-SH-7A VenCombustbEstSer,99-21'!Y65/42</f>
        <v>464.43976190476195</v>
      </c>
      <c r="Z65" s="175">
        <f t="shared" si="65"/>
        <v>-7.1833810235330864E-2</v>
      </c>
      <c r="AA65" s="79"/>
      <c r="AB65" s="79"/>
      <c r="AC65" s="79"/>
      <c r="AD65" s="79"/>
      <c r="AE65" s="79"/>
      <c r="AF65" s="177"/>
    </row>
    <row r="66" spans="2:32" ht="15" customHeight="1" x14ac:dyDescent="0.25">
      <c r="B66" s="555" t="s">
        <v>116</v>
      </c>
      <c r="C66" s="409">
        <f t="shared" ref="C66:K66" si="66">SUM(C63:C65)</f>
        <v>7222.6904761904771</v>
      </c>
      <c r="D66" s="410">
        <f t="shared" si="66"/>
        <v>5391.7857142857147</v>
      </c>
      <c r="E66" s="411">
        <f t="shared" si="66"/>
        <v>4943.9047619047615</v>
      </c>
      <c r="F66" s="411">
        <f t="shared" si="66"/>
        <v>5035.1904761904761</v>
      </c>
      <c r="G66" s="411">
        <f t="shared" si="66"/>
        <v>4452.1904761904771</v>
      </c>
      <c r="H66" s="411">
        <f t="shared" si="66"/>
        <v>3049.1190476190473</v>
      </c>
      <c r="I66" s="411">
        <f t="shared" si="66"/>
        <v>5421.1642857142851</v>
      </c>
      <c r="J66" s="411">
        <f t="shared" si="66"/>
        <v>2107.6666666666665</v>
      </c>
      <c r="K66" s="411">
        <f t="shared" si="66"/>
        <v>2300</v>
      </c>
      <c r="L66" s="401">
        <f t="shared" ref="L66:S66" si="67">+L63+L64+L65</f>
        <v>1514.8571428571427</v>
      </c>
      <c r="M66" s="401">
        <f t="shared" si="67"/>
        <v>1395.6666666666665</v>
      </c>
      <c r="N66" s="401">
        <f t="shared" si="67"/>
        <v>1767.3095238095239</v>
      </c>
      <c r="O66" s="401">
        <f t="shared" si="67"/>
        <v>1230.952380952381</v>
      </c>
      <c r="P66" s="401">
        <f t="shared" si="67"/>
        <v>1353.2857142857142</v>
      </c>
      <c r="Q66" s="401">
        <f t="shared" si="67"/>
        <v>2067.6190476190477</v>
      </c>
      <c r="R66" s="401">
        <f t="shared" si="67"/>
        <v>1395.2561904761903</v>
      </c>
      <c r="S66" s="401">
        <f t="shared" si="67"/>
        <v>1520.952380952381</v>
      </c>
      <c r="T66" s="401">
        <f t="shared" ref="T66" si="68">+T63+T64+T65</f>
        <v>1008.3045238095237</v>
      </c>
      <c r="U66" s="401">
        <f t="shared" ref="U66:V66" si="69">+U63+U64+U65</f>
        <v>856.00476190476195</v>
      </c>
      <c r="V66" s="401">
        <f t="shared" si="69"/>
        <v>823.07380952380947</v>
      </c>
      <c r="W66" s="401">
        <f t="shared" ref="W66:X66" si="70">+W63+W64+W65</f>
        <v>954.59523809523807</v>
      </c>
      <c r="X66" s="401">
        <f t="shared" si="70"/>
        <v>1060.9938095238094</v>
      </c>
      <c r="Y66" s="401">
        <f t="shared" ref="Y66" si="71">+Y63+Y64+Y65</f>
        <v>1320.469761904762</v>
      </c>
      <c r="Z66" s="687">
        <f t="shared" si="65"/>
        <v>-7.4330649087324632E-2</v>
      </c>
      <c r="AA66" s="81"/>
      <c r="AB66" s="81"/>
      <c r="AC66" s="81"/>
      <c r="AD66" s="81"/>
      <c r="AE66" s="81"/>
      <c r="AF66" s="151"/>
    </row>
    <row r="67" spans="2:32" ht="15" customHeight="1" x14ac:dyDescent="0.25">
      <c r="B67" s="554"/>
      <c r="C67" s="412"/>
      <c r="D67" s="413"/>
      <c r="E67" s="414"/>
      <c r="F67" s="414"/>
      <c r="G67" s="414"/>
      <c r="H67" s="414"/>
      <c r="I67" s="414"/>
      <c r="J67" s="414"/>
      <c r="K67" s="414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176"/>
      <c r="AA67" s="79"/>
      <c r="AB67" s="79"/>
      <c r="AC67" s="79"/>
      <c r="AD67" s="79"/>
      <c r="AE67" s="79"/>
      <c r="AF67" s="177"/>
    </row>
    <row r="68" spans="2:32" ht="15" customHeight="1" x14ac:dyDescent="0.25">
      <c r="B68" s="554" t="s">
        <v>93</v>
      </c>
      <c r="C68" s="396">
        <f>'C-SH-7A VenCombustbEstSer,99-21'!C68/42</f>
        <v>2722.5</v>
      </c>
      <c r="D68" s="397">
        <f>'C-SH-7A VenCombustbEstSer,99-21'!D68/42</f>
        <v>1611.0238095238096</v>
      </c>
      <c r="E68" s="398">
        <f>'C-SH-7A VenCombustbEstSer,99-21'!E68/42</f>
        <v>1467.3571428571429</v>
      </c>
      <c r="F68" s="398">
        <f>'C-SH-7A VenCombustbEstSer,99-21'!F68/42</f>
        <v>1643.452380952381</v>
      </c>
      <c r="G68" s="398">
        <f>'C-SH-7A VenCombustbEstSer,99-21'!G68/42</f>
        <v>1575.3333333333333</v>
      </c>
      <c r="H68" s="398">
        <f>'C-SH-7A VenCombustbEstSer,99-21'!H68/42</f>
        <v>753.47619047619048</v>
      </c>
      <c r="I68" s="398">
        <f>'C-SH-7A VenCombustbEstSer,99-21'!I68/42</f>
        <v>1526.1119047619047</v>
      </c>
      <c r="J68" s="398">
        <f>'C-SH-7A VenCombustbEstSer,99-21'!J68/42</f>
        <v>645.88095238095241</v>
      </c>
      <c r="K68" s="398">
        <f>'C-SH-7A VenCombustbEstSer,99-21'!K68/42</f>
        <v>736.61904761904759</v>
      </c>
      <c r="L68" s="398">
        <f>'C-SH-7A VenCombustbEstSer,99-21'!L68/42</f>
        <v>707.09523809523807</v>
      </c>
      <c r="M68" s="398">
        <f>'C-SH-7A VenCombustbEstSer,99-21'!M68/42</f>
        <v>501.88095238095241</v>
      </c>
      <c r="N68" s="398">
        <f>'C-SH-7A VenCombustbEstSer,99-21'!N68/42</f>
        <v>274.23809523809524</v>
      </c>
      <c r="O68" s="398">
        <f>'C-SH-7A VenCombustbEstSer,99-21'!O68/42</f>
        <v>323.40476190476193</v>
      </c>
      <c r="P68" s="398">
        <f>'C-SH-7A VenCombustbEstSer,99-21'!P68/42</f>
        <v>389.26190476190476</v>
      </c>
      <c r="Q68" s="398">
        <f>'C-SH-7A VenCombustbEstSer,99-21'!Q68/42</f>
        <v>749.95238095238096</v>
      </c>
      <c r="R68" s="398">
        <f>'C-SH-7A VenCombustbEstSer,99-21'!R68/42</f>
        <v>245.63428571428571</v>
      </c>
      <c r="S68" s="398">
        <f>'C-SH-7A VenCombustbEstSer,99-21'!S68/42</f>
        <v>478.6904761904762</v>
      </c>
      <c r="T68" s="398">
        <f>'C-SH-7A VenCombustbEstSer,99-21'!T68/42</f>
        <v>282.92119047619047</v>
      </c>
      <c r="U68" s="398">
        <f>'C-SH-7A VenCombustbEstSer,99-21'!U68/42</f>
        <v>265.68619047619052</v>
      </c>
      <c r="V68" s="398">
        <f>'C-SH-7A VenCombustbEstSer,99-21'!V68/42</f>
        <v>326.08833333333331</v>
      </c>
      <c r="W68" s="398">
        <f>'C-SH-7A VenCombustbEstSer,99-21'!W68/42</f>
        <v>330.17857142857144</v>
      </c>
      <c r="X68" s="398">
        <f>'C-SH-7A VenCombustbEstSer,99-21'!X68/42</f>
        <v>317.77309523809521</v>
      </c>
      <c r="Y68" s="398">
        <f>'C-SH-7A VenCombustbEstSer,99-21'!Y68/42</f>
        <v>397.50119047619046</v>
      </c>
      <c r="Z68" s="175">
        <f>RATE(22,,C68,-Y68)</f>
        <v>-8.3743975988727806E-2</v>
      </c>
      <c r="AA68" s="79"/>
      <c r="AB68" s="79"/>
      <c r="AC68" s="79"/>
      <c r="AD68" s="79"/>
      <c r="AE68" s="79"/>
      <c r="AF68" s="177"/>
    </row>
    <row r="69" spans="2:32" ht="15" customHeight="1" x14ac:dyDescent="0.25">
      <c r="B69" s="554" t="s">
        <v>94</v>
      </c>
      <c r="C69" s="396">
        <f>'C-SH-7A VenCombustbEstSer,99-21'!C69/42</f>
        <v>2387.6666666666665</v>
      </c>
      <c r="D69" s="397">
        <f>'C-SH-7A VenCombustbEstSer,99-21'!D69/42</f>
        <v>1654.9285714285713</v>
      </c>
      <c r="E69" s="398">
        <f>'C-SH-7A VenCombustbEstSer,99-21'!E69/42</f>
        <v>1902.3809523809523</v>
      </c>
      <c r="F69" s="398">
        <f>'C-SH-7A VenCombustbEstSer,99-21'!F69/42</f>
        <v>1696.5</v>
      </c>
      <c r="G69" s="398">
        <f>'C-SH-7A VenCombustbEstSer,99-21'!G69/42</f>
        <v>1497.5</v>
      </c>
      <c r="H69" s="398">
        <f>'C-SH-7A VenCombustbEstSer,99-21'!H69/42</f>
        <v>2143.8333333333335</v>
      </c>
      <c r="I69" s="398">
        <f>'C-SH-7A VenCombustbEstSer,99-21'!I69/42</f>
        <v>1594.5047619047618</v>
      </c>
      <c r="J69" s="398">
        <f>'C-SH-7A VenCombustbEstSer,99-21'!J69/42</f>
        <v>816.11904761904759</v>
      </c>
      <c r="K69" s="398">
        <f>'C-SH-7A VenCombustbEstSer,99-21'!K69/42</f>
        <v>595.83333333333337</v>
      </c>
      <c r="L69" s="398">
        <f>'C-SH-7A VenCombustbEstSer,99-21'!L69/42</f>
        <v>316.59523809523807</v>
      </c>
      <c r="M69" s="398">
        <f>'C-SH-7A VenCombustbEstSer,99-21'!M69/42</f>
        <v>425.78571428571428</v>
      </c>
      <c r="N69" s="398">
        <f>'C-SH-7A VenCombustbEstSer,99-21'!N69/42</f>
        <v>408.97619047619048</v>
      </c>
      <c r="O69" s="398">
        <f>'C-SH-7A VenCombustbEstSer,99-21'!O69/42</f>
        <v>445.1904761904762</v>
      </c>
      <c r="P69" s="398">
        <f>'C-SH-7A VenCombustbEstSer,99-21'!P69/42</f>
        <v>413.02380952380952</v>
      </c>
      <c r="Q69" s="398">
        <f>'C-SH-7A VenCombustbEstSer,99-21'!Q69/42</f>
        <v>671.14285714285711</v>
      </c>
      <c r="R69" s="398">
        <f>'C-SH-7A VenCombustbEstSer,99-21'!R69/42</f>
        <v>476.20809523809527</v>
      </c>
      <c r="S69" s="398">
        <f>'C-SH-7A VenCombustbEstSer,99-21'!S69/42</f>
        <v>511.16666666666669</v>
      </c>
      <c r="T69" s="398">
        <f>'C-SH-7A VenCombustbEstSer,99-21'!T69/42</f>
        <v>284.70380952380953</v>
      </c>
      <c r="U69" s="398">
        <f>'C-SH-7A VenCombustbEstSer,99-21'!U69/42</f>
        <v>257.55404761904765</v>
      </c>
      <c r="V69" s="398">
        <f>'C-SH-7A VenCombustbEstSer,99-21'!V69/42</f>
        <v>343.00238095238097</v>
      </c>
      <c r="W69" s="398">
        <f>'C-SH-7A VenCombustbEstSer,99-21'!W69/42</f>
        <v>321.85714285714283</v>
      </c>
      <c r="X69" s="398">
        <f>'C-SH-7A VenCombustbEstSer,99-21'!X69/42</f>
        <v>1890.9754761904762</v>
      </c>
      <c r="Y69" s="398">
        <f>'C-SH-7A VenCombustbEstSer,99-21'!Y69/42</f>
        <v>525.22833333333335</v>
      </c>
      <c r="Z69" s="175">
        <f t="shared" ref="Z69:Z71" si="72">RATE(22,,C69,-Y69)</f>
        <v>-6.6513740902704732E-2</v>
      </c>
      <c r="AA69" s="79"/>
      <c r="AB69" s="79"/>
      <c r="AC69" s="79"/>
      <c r="AD69" s="79"/>
      <c r="AE69" s="79"/>
      <c r="AF69" s="177"/>
    </row>
    <row r="70" spans="2:32" ht="15" customHeight="1" x14ac:dyDescent="0.25">
      <c r="B70" s="554" t="s">
        <v>101</v>
      </c>
      <c r="C70" s="396">
        <f>'C-SH-7A VenCombustbEstSer,99-21'!C70/42</f>
        <v>2455.3095238095239</v>
      </c>
      <c r="D70" s="397">
        <f>'C-SH-7A VenCombustbEstSer,99-21'!D70/42</f>
        <v>1387.547619047619</v>
      </c>
      <c r="E70" s="398">
        <f>'C-SH-7A VenCombustbEstSer,99-21'!E70/42</f>
        <v>1311.0714285714287</v>
      </c>
      <c r="F70" s="398">
        <f>'C-SH-7A VenCombustbEstSer,99-21'!F70/42</f>
        <v>1374.1190476190477</v>
      </c>
      <c r="G70" s="398">
        <f>'C-SH-7A VenCombustbEstSer,99-21'!G70/42</f>
        <v>1304.4285714285713</v>
      </c>
      <c r="H70" s="398">
        <f>'C-SH-7A VenCombustbEstSer,99-21'!H70/42</f>
        <v>900.66666666666663</v>
      </c>
      <c r="I70" s="398">
        <f>'C-SH-7A VenCombustbEstSer,99-21'!I70/42</f>
        <v>1820.3357142857144</v>
      </c>
      <c r="J70" s="398">
        <f>'C-SH-7A VenCombustbEstSer,99-21'!J70/42</f>
        <v>700.04761904761904</v>
      </c>
      <c r="K70" s="398">
        <f>'C-SH-7A VenCombustbEstSer,99-21'!K70/42</f>
        <v>484.35714285714283</v>
      </c>
      <c r="L70" s="398">
        <f>'C-SH-7A VenCombustbEstSer,99-21'!L70/42</f>
        <v>330.95238095238096</v>
      </c>
      <c r="M70" s="398">
        <f>'C-SH-7A VenCombustbEstSer,99-21'!M70/42</f>
        <v>401.28571428571428</v>
      </c>
      <c r="N70" s="398">
        <f>'C-SH-7A VenCombustbEstSer,99-21'!N70/42</f>
        <v>376.1904761904762</v>
      </c>
      <c r="O70" s="398">
        <f>'C-SH-7A VenCombustbEstSer,99-21'!O70/42</f>
        <v>453.33333333333331</v>
      </c>
      <c r="P70" s="398">
        <f>'C-SH-7A VenCombustbEstSer,99-21'!P70/42</f>
        <v>379.66666666666669</v>
      </c>
      <c r="Q70" s="398">
        <f>'C-SH-7A VenCombustbEstSer,99-21'!Q70/42</f>
        <v>661.80952380952385</v>
      </c>
      <c r="R70" s="398">
        <f>'C-SH-7A VenCombustbEstSer,99-21'!R70/42</f>
        <v>579.47666666666669</v>
      </c>
      <c r="S70" s="398">
        <f>'C-SH-7A VenCombustbEstSer,99-21'!S70/42</f>
        <v>489.61904761904759</v>
      </c>
      <c r="T70" s="398">
        <f>'C-SH-7A VenCombustbEstSer,99-21'!T70/42</f>
        <v>252.66428571428571</v>
      </c>
      <c r="U70" s="398">
        <f>'C-SH-7A VenCombustbEstSer,99-21'!U70/42</f>
        <v>265.67619047619047</v>
      </c>
      <c r="V70" s="398">
        <f>'C-SH-7A VenCombustbEstSer,99-21'!V70/42</f>
        <v>254.77928571428569</v>
      </c>
      <c r="W70" s="398">
        <f>'C-SH-7A VenCombustbEstSer,99-21'!W70/42</f>
        <v>285.3095238095238</v>
      </c>
      <c r="X70" s="398">
        <f>'C-SH-7A VenCombustbEstSer,99-21'!X70/42</f>
        <v>422.7554761904762</v>
      </c>
      <c r="Y70" s="398">
        <f>'C-SH-7A VenCombustbEstSer,99-21'!Y70/42</f>
        <v>364.12928571428574</v>
      </c>
      <c r="Z70" s="175">
        <f t="shared" si="72"/>
        <v>-8.3093670017843485E-2</v>
      </c>
      <c r="AA70" s="79"/>
      <c r="AB70" s="79"/>
      <c r="AC70" s="79"/>
      <c r="AD70" s="79"/>
      <c r="AE70" s="79"/>
      <c r="AF70" s="177"/>
    </row>
    <row r="71" spans="2:32" ht="15" customHeight="1" x14ac:dyDescent="0.25">
      <c r="B71" s="555" t="s">
        <v>117</v>
      </c>
      <c r="C71" s="409">
        <f t="shared" ref="C71:K71" si="73">SUM(C68:C70)</f>
        <v>7565.4761904761899</v>
      </c>
      <c r="D71" s="410">
        <f t="shared" si="73"/>
        <v>4653.5</v>
      </c>
      <c r="E71" s="411">
        <f t="shared" si="73"/>
        <v>4680.8095238095239</v>
      </c>
      <c r="F71" s="411">
        <f t="shared" si="73"/>
        <v>4714.0714285714284</v>
      </c>
      <c r="G71" s="411">
        <f t="shared" si="73"/>
        <v>4377.2619047619046</v>
      </c>
      <c r="H71" s="411">
        <f t="shared" si="73"/>
        <v>3797.9761904761904</v>
      </c>
      <c r="I71" s="411">
        <f t="shared" si="73"/>
        <v>4940.9523809523816</v>
      </c>
      <c r="J71" s="411">
        <f t="shared" si="73"/>
        <v>2162.0476190476193</v>
      </c>
      <c r="K71" s="411">
        <f t="shared" si="73"/>
        <v>1816.8095238095239</v>
      </c>
      <c r="L71" s="401">
        <f t="shared" ref="L71:S71" si="74">+L68+L69+L70</f>
        <v>1354.6428571428571</v>
      </c>
      <c r="M71" s="401">
        <f t="shared" si="74"/>
        <v>1328.952380952381</v>
      </c>
      <c r="N71" s="401">
        <f t="shared" si="74"/>
        <v>1059.4047619047619</v>
      </c>
      <c r="O71" s="401">
        <f t="shared" si="74"/>
        <v>1221.9285714285713</v>
      </c>
      <c r="P71" s="401">
        <f t="shared" si="74"/>
        <v>1181.952380952381</v>
      </c>
      <c r="Q71" s="401">
        <f t="shared" si="74"/>
        <v>2082.9047619047619</v>
      </c>
      <c r="R71" s="401">
        <f t="shared" si="74"/>
        <v>1301.3190476190475</v>
      </c>
      <c r="S71" s="401">
        <f t="shared" si="74"/>
        <v>1479.4761904761904</v>
      </c>
      <c r="T71" s="401">
        <f t="shared" ref="T71" si="75">+T68+T69+T70</f>
        <v>820.28928571428571</v>
      </c>
      <c r="U71" s="401">
        <f t="shared" ref="U71:V71" si="76">+U68+U69+U70</f>
        <v>788.9164285714287</v>
      </c>
      <c r="V71" s="401">
        <f t="shared" si="76"/>
        <v>923.87</v>
      </c>
      <c r="W71" s="401">
        <f t="shared" ref="W71:X71" si="77">+W68+W69+W70</f>
        <v>937.34523809523807</v>
      </c>
      <c r="X71" s="401">
        <f t="shared" si="77"/>
        <v>2631.5040476190475</v>
      </c>
      <c r="Y71" s="401">
        <f t="shared" ref="Y71" si="78">+Y68+Y69+Y70</f>
        <v>1286.8588095238097</v>
      </c>
      <c r="Z71" s="687">
        <f t="shared" si="72"/>
        <v>-7.7361497479974881E-2</v>
      </c>
      <c r="AA71" s="81"/>
      <c r="AB71" s="81"/>
      <c r="AC71" s="81"/>
      <c r="AD71" s="81"/>
      <c r="AE71" s="81"/>
      <c r="AF71" s="151"/>
    </row>
    <row r="72" spans="2:32" ht="15" customHeight="1" x14ac:dyDescent="0.25">
      <c r="B72" s="554"/>
      <c r="C72" s="412"/>
      <c r="D72" s="413"/>
      <c r="E72" s="414"/>
      <c r="F72" s="414"/>
      <c r="G72" s="414"/>
      <c r="H72" s="414"/>
      <c r="I72" s="414"/>
      <c r="J72" s="414"/>
      <c r="K72" s="414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176"/>
      <c r="AA72" s="79"/>
      <c r="AB72" s="79"/>
      <c r="AC72" s="79"/>
      <c r="AD72" s="79"/>
      <c r="AE72" s="79"/>
      <c r="AF72" s="177"/>
    </row>
    <row r="73" spans="2:32" ht="15" customHeight="1" x14ac:dyDescent="0.25">
      <c r="B73" s="554" t="s">
        <v>95</v>
      </c>
      <c r="C73" s="396">
        <f>'C-SH-7A VenCombustbEstSer,99-21'!C73/42</f>
        <v>1960.5952380952381</v>
      </c>
      <c r="D73" s="397">
        <f>'C-SH-7A VenCombustbEstSer,99-21'!D73/42</f>
        <v>1456.8095238095239</v>
      </c>
      <c r="E73" s="398">
        <f>'C-SH-7A VenCombustbEstSer,99-21'!E73/42</f>
        <v>1416.9761904761904</v>
      </c>
      <c r="F73" s="398">
        <f>'C-SH-7A VenCombustbEstSer,99-21'!F73/42</f>
        <v>1479.8809523809523</v>
      </c>
      <c r="G73" s="398">
        <f>'C-SH-7A VenCombustbEstSer,99-21'!G73/42</f>
        <v>1287.1904761904761</v>
      </c>
      <c r="H73" s="398">
        <f>'C-SH-7A VenCombustbEstSer,99-21'!H73/42</f>
        <v>920.33333333333337</v>
      </c>
      <c r="I73" s="398">
        <f>'C-SH-7A VenCombustbEstSer,99-21'!I73/42</f>
        <v>1165.3333333333333</v>
      </c>
      <c r="J73" s="398">
        <f>'C-SH-7A VenCombustbEstSer,99-21'!J73/42</f>
        <v>755.69047619047615</v>
      </c>
      <c r="K73" s="398">
        <f>'C-SH-7A VenCombustbEstSer,99-21'!K73/42</f>
        <v>659.52380952380952</v>
      </c>
      <c r="L73" s="398">
        <f>'C-SH-7A VenCombustbEstSer,99-21'!L73/42</f>
        <v>384.1904761904762</v>
      </c>
      <c r="M73" s="398">
        <f>'C-SH-7A VenCombustbEstSer,99-21'!M73/42</f>
        <v>474.21428571428572</v>
      </c>
      <c r="N73" s="398">
        <f>'C-SH-7A VenCombustbEstSer,99-21'!N73/42</f>
        <v>251.88095238095238</v>
      </c>
      <c r="O73" s="398">
        <f>'C-SH-7A VenCombustbEstSer,99-21'!O73/42</f>
        <v>450.04761904761904</v>
      </c>
      <c r="P73" s="398">
        <f>'C-SH-7A VenCombustbEstSer,99-21'!P73/42</f>
        <v>407.38095238095241</v>
      </c>
      <c r="Q73" s="398">
        <f>'C-SH-7A VenCombustbEstSer,99-21'!Q73/42</f>
        <v>672.07142857142856</v>
      </c>
      <c r="R73" s="398">
        <f>'C-SH-7A VenCombustbEstSer,99-21'!R73/42</f>
        <v>582.06880952380948</v>
      </c>
      <c r="S73" s="398">
        <f>'C-SH-7A VenCombustbEstSer,99-21'!S73/42</f>
        <v>386.61904761904759</v>
      </c>
      <c r="T73" s="398">
        <f>'C-SH-7A VenCombustbEstSer,99-21'!T73/42</f>
        <v>302.91690476190479</v>
      </c>
      <c r="U73" s="398">
        <f>'C-SH-7A VenCombustbEstSer,99-21'!U73/42</f>
        <v>269.4666666666667</v>
      </c>
      <c r="V73" s="398">
        <f>'C-SH-7A VenCombustbEstSer,99-21'!V73/42</f>
        <v>272.53428571428572</v>
      </c>
      <c r="W73" s="398">
        <f>'C-SH-7A VenCombustbEstSer,99-21'!W73/42</f>
        <v>278</v>
      </c>
      <c r="X73" s="398">
        <f>'C-SH-7A VenCombustbEstSer,99-21'!X73/42</f>
        <v>338.10761904761904</v>
      </c>
      <c r="Y73" s="398">
        <f>'C-SH-7A VenCombustbEstSer,99-21'!Y73/42</f>
        <v>382.8590476190476</v>
      </c>
      <c r="Z73" s="175">
        <f>RATE(22,,C73,-Y73)</f>
        <v>-7.1553545021308548E-2</v>
      </c>
      <c r="AA73" s="79"/>
      <c r="AB73" s="79"/>
      <c r="AC73" s="79"/>
      <c r="AD73" s="79"/>
      <c r="AE73" s="79"/>
      <c r="AF73" s="177"/>
    </row>
    <row r="74" spans="2:32" ht="15" customHeight="1" x14ac:dyDescent="0.25">
      <c r="B74" s="554" t="s">
        <v>96</v>
      </c>
      <c r="C74" s="396">
        <f>'C-SH-7A VenCombustbEstSer,99-21'!C74/42</f>
        <v>2143.4047619047619</v>
      </c>
      <c r="D74" s="397">
        <f>'C-SH-7A VenCombustbEstSer,99-21'!D74/42</f>
        <v>1405.8571428571429</v>
      </c>
      <c r="E74" s="398">
        <f>'C-SH-7A VenCombustbEstSer,99-21'!E74/42</f>
        <v>1435.1428571428571</v>
      </c>
      <c r="F74" s="398">
        <f>'C-SH-7A VenCombustbEstSer,99-21'!F74/42</f>
        <v>1379.6428571428571</v>
      </c>
      <c r="G74" s="398">
        <f>'C-SH-7A VenCombustbEstSer,99-21'!G74/42</f>
        <v>1376.4761904761904</v>
      </c>
      <c r="H74" s="398">
        <f>'C-SH-7A VenCombustbEstSer,99-21'!H74/42</f>
        <v>665.02380952380952</v>
      </c>
      <c r="I74" s="398">
        <f>'C-SH-7A VenCombustbEstSer,99-21'!I74/42</f>
        <v>1083.5404761904761</v>
      </c>
      <c r="J74" s="398">
        <f>'C-SH-7A VenCombustbEstSer,99-21'!J74/42</f>
        <v>653.16666666666663</v>
      </c>
      <c r="K74" s="398">
        <f>'C-SH-7A VenCombustbEstSer,99-21'!K74/42</f>
        <v>567.19047619047615</v>
      </c>
      <c r="L74" s="398">
        <f>'C-SH-7A VenCombustbEstSer,99-21'!L74/42</f>
        <v>538.33333333333337</v>
      </c>
      <c r="M74" s="398">
        <f>'C-SH-7A VenCombustbEstSer,99-21'!M74/42</f>
        <v>447.09523809523807</v>
      </c>
      <c r="N74" s="398">
        <f>'C-SH-7A VenCombustbEstSer,99-21'!N74/42</f>
        <v>422.71428571428572</v>
      </c>
      <c r="O74" s="398">
        <f>'C-SH-7A VenCombustbEstSer,99-21'!O74/42</f>
        <v>408.11904761904759</v>
      </c>
      <c r="P74" s="398">
        <f>'C-SH-7A VenCombustbEstSer,99-21'!P74/42</f>
        <v>328.09523809523807</v>
      </c>
      <c r="Q74" s="398">
        <f>'C-SH-7A VenCombustbEstSer,99-21'!Q74/42</f>
        <v>569.59523809523807</v>
      </c>
      <c r="R74" s="398">
        <f>'C-SH-7A VenCombustbEstSer,99-21'!R74/42</f>
        <v>508.18214285714288</v>
      </c>
      <c r="S74" s="398">
        <f>'C-SH-7A VenCombustbEstSer,99-21'!S74/42</f>
        <v>332.35714285714283</v>
      </c>
      <c r="T74" s="398">
        <f>'C-SH-7A VenCombustbEstSer,99-21'!T74/42</f>
        <v>298.11666666666667</v>
      </c>
      <c r="U74" s="398">
        <f>'C-SH-7A VenCombustbEstSer,99-21'!U74/42</f>
        <v>293.94428571428568</v>
      </c>
      <c r="V74" s="398">
        <f>'C-SH-7A VenCombustbEstSer,99-21'!V74/42</f>
        <v>258.39904761904762</v>
      </c>
      <c r="W74" s="398">
        <f>'C-SH-7A VenCombustbEstSer,99-21'!W74/42</f>
        <v>295.07142857142856</v>
      </c>
      <c r="X74" s="398">
        <f>'C-SH-7A VenCombustbEstSer,99-21'!X74/42</f>
        <v>327.54333333333335</v>
      </c>
      <c r="Y74" s="398">
        <f>'C-SH-7A VenCombustbEstSer,99-21'!Y74/42</f>
        <v>294.30880952380949</v>
      </c>
      <c r="Z74" s="175">
        <f t="shared" ref="Z74:Z76" si="79">RATE(22,,C74,-Y74)</f>
        <v>-8.6298152156837643E-2</v>
      </c>
      <c r="AA74" s="79"/>
      <c r="AB74" s="79"/>
      <c r="AC74" s="79"/>
      <c r="AD74" s="79"/>
      <c r="AE74" s="79"/>
      <c r="AF74" s="177"/>
    </row>
    <row r="75" spans="2:32" ht="15" customHeight="1" x14ac:dyDescent="0.25">
      <c r="B75" s="554" t="s">
        <v>97</v>
      </c>
      <c r="C75" s="396">
        <f>'C-SH-7A VenCombustbEstSer,99-21'!C75/42</f>
        <v>1921.4047619047619</v>
      </c>
      <c r="D75" s="397">
        <f>'C-SH-7A VenCombustbEstSer,99-21'!D75/42</f>
        <v>1598.7857142857142</v>
      </c>
      <c r="E75" s="398">
        <f>'C-SH-7A VenCombustbEstSer,99-21'!E75/42</f>
        <v>1306.5</v>
      </c>
      <c r="F75" s="398">
        <f>'C-SH-7A VenCombustbEstSer,99-21'!F75/42</f>
        <v>1462.547619047619</v>
      </c>
      <c r="G75" s="398">
        <f>'C-SH-7A VenCombustbEstSer,99-21'!G75/42</f>
        <v>1365.8571428571429</v>
      </c>
      <c r="H75" s="398">
        <f>'C-SH-7A VenCombustbEstSer,99-21'!H75/42</f>
        <v>585.33333333333337</v>
      </c>
      <c r="I75" s="398">
        <f>'C-SH-7A VenCombustbEstSer,99-21'!I75/42</f>
        <v>4444.880714285714</v>
      </c>
      <c r="J75" s="398">
        <f>'C-SH-7A VenCombustbEstSer,99-21'!J75/42</f>
        <v>865.14285714285711</v>
      </c>
      <c r="K75" s="398">
        <f>'C-SH-7A VenCombustbEstSer,99-21'!K75/42</f>
        <v>494.3095238095238</v>
      </c>
      <c r="L75" s="398">
        <f>'C-SH-7A VenCombustbEstSer,99-21'!L75/42</f>
        <v>375.26190476190476</v>
      </c>
      <c r="M75" s="398">
        <f>'C-SH-7A VenCombustbEstSer,99-21'!M75/42</f>
        <v>449.11904761904759</v>
      </c>
      <c r="N75" s="398">
        <f>'C-SH-7A VenCombustbEstSer,99-21'!N75/42</f>
        <v>709.90476190476193</v>
      </c>
      <c r="O75" s="398">
        <f>'C-SH-7A VenCombustbEstSer,99-21'!O75/42</f>
        <v>491.76190476190476</v>
      </c>
      <c r="P75" s="398">
        <f>'C-SH-7A VenCombustbEstSer,99-21'!P75/42</f>
        <v>367.14285714285717</v>
      </c>
      <c r="Q75" s="398">
        <f>'C-SH-7A VenCombustbEstSer,99-21'!Q75/42</f>
        <v>514.73809523809518</v>
      </c>
      <c r="R75" s="398">
        <f>'C-SH-7A VenCombustbEstSer,99-21'!R75/42</f>
        <v>421.90238095238101</v>
      </c>
      <c r="S75" s="398">
        <f>'C-SH-7A VenCombustbEstSer,99-21'!S75/42</f>
        <v>303.26190476190476</v>
      </c>
      <c r="T75" s="398">
        <f>'C-SH-7A VenCombustbEstSer,99-21'!T75/42</f>
        <v>264.87166666666667</v>
      </c>
      <c r="U75" s="398">
        <f>'C-SH-7A VenCombustbEstSer,99-21'!U75/42</f>
        <v>310.45380952380953</v>
      </c>
      <c r="V75" s="398">
        <f>'C-SH-7A VenCombustbEstSer,99-21'!V75/42</f>
        <v>316.00809523809522</v>
      </c>
      <c r="W75" s="398">
        <f>'C-SH-7A VenCombustbEstSer,99-21'!W75/42</f>
        <v>367.53571428571428</v>
      </c>
      <c r="X75" s="398">
        <f>'C-SH-7A VenCombustbEstSer,99-21'!X75/42</f>
        <v>370.97928571428571</v>
      </c>
      <c r="Y75" s="398">
        <f>'C-SH-7A VenCombustbEstSer,99-21'!Y75/42</f>
        <v>382.62071428571426</v>
      </c>
      <c r="Z75" s="175">
        <f t="shared" si="79"/>
        <v>-7.0727330764232585E-2</v>
      </c>
      <c r="AA75" s="79"/>
      <c r="AB75" s="79"/>
      <c r="AC75" s="79"/>
      <c r="AD75" s="79"/>
      <c r="AE75" s="79"/>
      <c r="AF75" s="177"/>
    </row>
    <row r="76" spans="2:32" ht="15" customHeight="1" x14ac:dyDescent="0.25">
      <c r="B76" s="555" t="s">
        <v>118</v>
      </c>
      <c r="C76" s="409">
        <f t="shared" ref="C76:K76" si="80">SUM(C73:C75)</f>
        <v>6025.4047619047615</v>
      </c>
      <c r="D76" s="410">
        <f t="shared" si="80"/>
        <v>4461.4523809523816</v>
      </c>
      <c r="E76" s="411">
        <f t="shared" si="80"/>
        <v>4158.6190476190477</v>
      </c>
      <c r="F76" s="411">
        <f t="shared" si="80"/>
        <v>4322.0714285714284</v>
      </c>
      <c r="G76" s="411">
        <f t="shared" si="80"/>
        <v>4029.5238095238092</v>
      </c>
      <c r="H76" s="411">
        <f t="shared" si="80"/>
        <v>2170.6904761904761</v>
      </c>
      <c r="I76" s="411">
        <f t="shared" si="80"/>
        <v>6693.7545238095236</v>
      </c>
      <c r="J76" s="411">
        <f t="shared" si="80"/>
        <v>2274</v>
      </c>
      <c r="K76" s="411">
        <f t="shared" si="80"/>
        <v>1721.0238095238096</v>
      </c>
      <c r="L76" s="401">
        <f t="shared" ref="L76:S76" si="81">+L73+L74+L75</f>
        <v>1297.7857142857144</v>
      </c>
      <c r="M76" s="401">
        <f t="shared" si="81"/>
        <v>1370.4285714285716</v>
      </c>
      <c r="N76" s="401">
        <f t="shared" si="81"/>
        <v>1384.5</v>
      </c>
      <c r="O76" s="401">
        <f t="shared" si="81"/>
        <v>1349.9285714285713</v>
      </c>
      <c r="P76" s="401">
        <f t="shared" si="81"/>
        <v>1102.6190476190477</v>
      </c>
      <c r="Q76" s="401">
        <f t="shared" si="81"/>
        <v>1756.4047619047617</v>
      </c>
      <c r="R76" s="401">
        <f t="shared" si="81"/>
        <v>1512.1533333333334</v>
      </c>
      <c r="S76" s="401">
        <f t="shared" si="81"/>
        <v>1022.2380952380952</v>
      </c>
      <c r="T76" s="401">
        <f t="shared" ref="T76" si="82">+T73+T74+T75</f>
        <v>865.90523809523813</v>
      </c>
      <c r="U76" s="401">
        <f t="shared" ref="U76:V76" si="83">+U73+U74+U75</f>
        <v>873.86476190476196</v>
      </c>
      <c r="V76" s="401">
        <f t="shared" si="83"/>
        <v>846.94142857142856</v>
      </c>
      <c r="W76" s="401">
        <f t="shared" ref="W76:X76" si="84">+W73+W74+W75</f>
        <v>940.60714285714289</v>
      </c>
      <c r="X76" s="401">
        <f t="shared" si="84"/>
        <v>1036.6302380952382</v>
      </c>
      <c r="Y76" s="401">
        <f t="shared" ref="Y76" si="85">+Y73+Y74+Y75</f>
        <v>1059.7885714285712</v>
      </c>
      <c r="Z76" s="687">
        <f t="shared" si="79"/>
        <v>-7.5956515062618538E-2</v>
      </c>
      <c r="AA76" s="81"/>
      <c r="AB76" s="81"/>
      <c r="AC76" s="81"/>
      <c r="AD76" s="81"/>
      <c r="AE76" s="81"/>
      <c r="AF76" s="151"/>
    </row>
    <row r="77" spans="2:32" ht="15" customHeight="1" thickBot="1" x14ac:dyDescent="0.3">
      <c r="B77" s="596"/>
      <c r="C77" s="412"/>
      <c r="D77" s="413"/>
      <c r="E77" s="414"/>
      <c r="F77" s="415"/>
      <c r="G77" s="415"/>
      <c r="H77" s="415"/>
      <c r="I77" s="415"/>
      <c r="J77" s="415"/>
      <c r="K77" s="415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176"/>
      <c r="AA77" s="79"/>
      <c r="AB77" s="79"/>
      <c r="AC77" s="79"/>
      <c r="AD77" s="79"/>
      <c r="AE77" s="79"/>
      <c r="AF77" s="177"/>
    </row>
    <row r="78" spans="2:32" ht="24.9" customHeight="1" thickBot="1" x14ac:dyDescent="0.3">
      <c r="B78" s="597" t="s">
        <v>119</v>
      </c>
      <c r="C78" s="416">
        <f t="shared" ref="C78:J78" si="86">+C61+C66+C71+C76</f>
        <v>28638.404761904763</v>
      </c>
      <c r="D78" s="417">
        <f t="shared" si="86"/>
        <v>21218.09523809524</v>
      </c>
      <c r="E78" s="417">
        <f t="shared" si="86"/>
        <v>18737.952380952382</v>
      </c>
      <c r="F78" s="417">
        <f t="shared" si="86"/>
        <v>19139.857142857141</v>
      </c>
      <c r="G78" s="417">
        <f t="shared" si="86"/>
        <v>17360.809523809527</v>
      </c>
      <c r="H78" s="417">
        <f t="shared" si="86"/>
        <v>12454.761904761905</v>
      </c>
      <c r="I78" s="417">
        <f t="shared" si="86"/>
        <v>22169.561666666665</v>
      </c>
      <c r="J78" s="417">
        <f t="shared" si="86"/>
        <v>8667.6666666666679</v>
      </c>
      <c r="K78" s="417">
        <f t="shared" ref="K78:P78" si="87">+K61+K66+K71+K76</f>
        <v>8284.4523809523816</v>
      </c>
      <c r="L78" s="404">
        <f t="shared" si="87"/>
        <v>5833.7619047619046</v>
      </c>
      <c r="M78" s="404">
        <f t="shared" si="87"/>
        <v>5238.1904761904761</v>
      </c>
      <c r="N78" s="404">
        <f t="shared" si="87"/>
        <v>5615.1904761904761</v>
      </c>
      <c r="O78" s="404">
        <f t="shared" si="87"/>
        <v>5071.0714285714284</v>
      </c>
      <c r="P78" s="404">
        <f t="shared" si="87"/>
        <v>4982.9285714285716</v>
      </c>
      <c r="Q78" s="404">
        <f t="shared" ref="Q78:V78" si="88">+Q61+Q66+Q71+Q76</f>
        <v>7347.9285714285706</v>
      </c>
      <c r="R78" s="404">
        <f t="shared" si="88"/>
        <v>6173.2161904761906</v>
      </c>
      <c r="S78" s="404">
        <f t="shared" si="88"/>
        <v>5588.5714285714294</v>
      </c>
      <c r="T78" s="404">
        <f t="shared" si="88"/>
        <v>3488.0842857142857</v>
      </c>
      <c r="U78" s="404">
        <f t="shared" si="88"/>
        <v>3440.1380952380955</v>
      </c>
      <c r="V78" s="404">
        <f t="shared" si="88"/>
        <v>3281.3271428571425</v>
      </c>
      <c r="W78" s="404">
        <f t="shared" ref="W78:X78" si="89">+W61+W66+W71+W76</f>
        <v>3747.4404761904761</v>
      </c>
      <c r="X78" s="404">
        <f t="shared" si="89"/>
        <v>5537.7619047619046</v>
      </c>
      <c r="Y78" s="404">
        <f t="shared" ref="Y78" si="90">+Y61+Y66+Y71+Y76</f>
        <v>4897.7557142857149</v>
      </c>
      <c r="Z78" s="762">
        <f>RATE(22,,C78,-Y78)</f>
        <v>-7.713418519963551E-2</v>
      </c>
      <c r="AA78" s="81"/>
      <c r="AB78" s="81"/>
      <c r="AC78" s="81"/>
      <c r="AD78" s="81"/>
      <c r="AE78" s="81"/>
      <c r="AF78" s="151"/>
    </row>
    <row r="79" spans="2:32" ht="15" customHeight="1" x14ac:dyDescent="0.25"/>
    <row r="80" spans="2:32" s="14" customFormat="1" ht="15" customHeight="1" x14ac:dyDescent="0.25">
      <c r="B80" s="63" t="s">
        <v>219</v>
      </c>
      <c r="Z80" s="48"/>
      <c r="AF80" s="48"/>
    </row>
  </sheetData>
  <mergeCells count="10">
    <mergeCell ref="B1:Z1"/>
    <mergeCell ref="B2:Z2"/>
    <mergeCell ref="B3:Z3"/>
    <mergeCell ref="B4:Z4"/>
    <mergeCell ref="B55:B56"/>
    <mergeCell ref="C55:Z55"/>
    <mergeCell ref="B5:B6"/>
    <mergeCell ref="C5:Z5"/>
    <mergeCell ref="B30:B31"/>
    <mergeCell ref="C30:Z30"/>
  </mergeCells>
  <phoneticPr fontId="10" type="noConversion"/>
  <pageMargins left="0.75" right="0.75" top="1" bottom="1" header="0" footer="0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L63"/>
  <sheetViews>
    <sheetView topLeftCell="J1" workbookViewId="0">
      <selection activeCell="B3" sqref="B3:Z3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0.6640625" style="47" customWidth="1"/>
    <col min="3" max="16" width="12.6640625" style="13" customWidth="1"/>
    <col min="17" max="17" width="11.5546875" style="13" customWidth="1"/>
    <col min="18" max="18" width="12.44140625" style="13" customWidth="1"/>
    <col min="19" max="19" width="10.88671875" style="13" customWidth="1"/>
    <col min="20" max="21" width="11.109375" style="13" customWidth="1"/>
    <col min="22" max="22" width="10.21875" style="13" customWidth="1"/>
    <col min="23" max="23" width="11.44140625" style="13"/>
    <col min="24" max="24" width="10.6640625" style="13" customWidth="1"/>
    <col min="25" max="26" width="10.77734375" style="13" customWidth="1"/>
    <col min="27" max="16384" width="11.44140625" style="13"/>
  </cols>
  <sheetData>
    <row r="1" spans="2:38" ht="15" customHeight="1" x14ac:dyDescent="0.25">
      <c r="B1" s="864" t="s">
        <v>194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</row>
    <row r="2" spans="2:38" ht="15" customHeight="1" x14ac:dyDescent="0.25">
      <c r="B2" s="864" t="s">
        <v>37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</row>
    <row r="3" spans="2:38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</row>
    <row r="4" spans="2:38" ht="15" customHeight="1" thickBot="1" x14ac:dyDescent="0.3">
      <c r="B4" s="929" t="s">
        <v>38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</row>
    <row r="5" spans="2:38" ht="15" customHeight="1" thickBot="1" x14ac:dyDescent="0.3">
      <c r="B5" s="916" t="s">
        <v>39</v>
      </c>
      <c r="C5" s="853" t="s">
        <v>196</v>
      </c>
      <c r="D5" s="854"/>
      <c r="E5" s="855"/>
      <c r="F5" s="919" t="s">
        <v>195</v>
      </c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920"/>
      <c r="Z5" s="921"/>
    </row>
    <row r="6" spans="2:38" ht="15" customHeight="1" thickBot="1" x14ac:dyDescent="0.3">
      <c r="B6" s="937"/>
      <c r="C6" s="603">
        <v>1999</v>
      </c>
      <c r="D6" s="588">
        <v>2000</v>
      </c>
      <c r="E6" s="552">
        <v>2001</v>
      </c>
      <c r="F6" s="682">
        <v>2001</v>
      </c>
      <c r="G6" s="683">
        <v>2002</v>
      </c>
      <c r="H6" s="684">
        <v>2003</v>
      </c>
      <c r="I6" s="684">
        <v>2004</v>
      </c>
      <c r="J6" s="684">
        <v>2005</v>
      </c>
      <c r="K6" s="684">
        <v>2006</v>
      </c>
      <c r="L6" s="684">
        <v>2007</v>
      </c>
      <c r="M6" s="684">
        <v>2008</v>
      </c>
      <c r="N6" s="684">
        <v>2009</v>
      </c>
      <c r="O6" s="684">
        <v>2010</v>
      </c>
      <c r="P6" s="684">
        <v>2011</v>
      </c>
      <c r="Q6" s="684">
        <v>2012</v>
      </c>
      <c r="R6" s="684">
        <v>2013</v>
      </c>
      <c r="S6" s="684">
        <v>2014</v>
      </c>
      <c r="T6" s="684">
        <v>2015</v>
      </c>
      <c r="U6" s="684">
        <v>2016</v>
      </c>
      <c r="V6" s="684">
        <v>2017</v>
      </c>
      <c r="W6" s="684">
        <v>2018</v>
      </c>
      <c r="X6" s="684">
        <v>2019</v>
      </c>
      <c r="Y6" s="684">
        <v>2020</v>
      </c>
      <c r="Z6" s="838">
        <v>2021</v>
      </c>
      <c r="AA6"/>
      <c r="AB6"/>
    </row>
    <row r="7" spans="2:38" ht="15" customHeight="1" x14ac:dyDescent="0.25">
      <c r="B7" s="599"/>
      <c r="C7" s="295"/>
      <c r="D7" s="296"/>
      <c r="E7" s="419"/>
      <c r="F7" s="273"/>
      <c r="G7" s="277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737"/>
      <c r="U7" s="752"/>
      <c r="V7" s="770"/>
      <c r="W7" s="789"/>
      <c r="X7" s="806"/>
      <c r="Y7" s="835"/>
      <c r="Z7" s="279"/>
      <c r="AA7"/>
      <c r="AB7"/>
    </row>
    <row r="8" spans="2:38" ht="15" customHeight="1" x14ac:dyDescent="0.25">
      <c r="B8" s="555" t="s">
        <v>144</v>
      </c>
      <c r="C8" s="274">
        <v>0.42881935483870964</v>
      </c>
      <c r="D8" s="280">
        <v>0.78901290322580642</v>
      </c>
      <c r="E8" s="282">
        <v>0.94068064516129024</v>
      </c>
      <c r="F8" s="274"/>
      <c r="G8" s="280">
        <v>0.66558709677419359</v>
      </c>
      <c r="H8" s="281">
        <v>0.96932903225806444</v>
      </c>
      <c r="I8" s="281">
        <v>1.064674193548387</v>
      </c>
      <c r="J8" s="281">
        <v>1.2798645161290323</v>
      </c>
      <c r="K8" s="281">
        <v>1.8013677419354839</v>
      </c>
      <c r="L8" s="281">
        <v>1.6493903225806452</v>
      </c>
      <c r="M8" s="281">
        <v>2.494106451612903</v>
      </c>
      <c r="N8" s="281">
        <v>1.1325806451612903</v>
      </c>
      <c r="O8" s="281">
        <v>2.1288032258064518</v>
      </c>
      <c r="P8" s="281">
        <v>2.6236999999999999</v>
      </c>
      <c r="Q8" s="281">
        <v>2.9472</v>
      </c>
      <c r="R8" s="281">
        <v>2.8340164915383101</v>
      </c>
      <c r="S8" s="281">
        <v>2.7601</v>
      </c>
      <c r="T8" s="742">
        <v>1.4875999999999998</v>
      </c>
      <c r="U8" s="753">
        <v>1.3119333333333334</v>
      </c>
      <c r="V8" s="771">
        <v>1.7717666666666665</v>
      </c>
      <c r="W8" s="790">
        <v>1.9692500000000002</v>
      </c>
      <c r="X8" s="807">
        <v>1.5217999999999998</v>
      </c>
      <c r="Y8" s="836">
        <v>1.8494333333333335</v>
      </c>
      <c r="Z8" s="282">
        <v>1.6084666666666667</v>
      </c>
      <c r="AA8"/>
      <c r="AB8"/>
      <c r="AC8" s="90"/>
      <c r="AD8" s="90"/>
      <c r="AE8" s="90"/>
      <c r="AF8" s="90"/>
      <c r="AG8" s="90"/>
      <c r="AH8" s="90"/>
      <c r="AI8" s="90"/>
      <c r="AJ8" s="90"/>
      <c r="AK8" s="90"/>
      <c r="AL8" s="90"/>
    </row>
    <row r="9" spans="2:38" ht="15" customHeight="1" x14ac:dyDescent="0.25">
      <c r="B9" s="555" t="s">
        <v>87</v>
      </c>
      <c r="C9" s="274">
        <v>0.43306428571428573</v>
      </c>
      <c r="D9" s="280">
        <v>0.88091034482758612</v>
      </c>
      <c r="E9" s="282">
        <v>1.0137750000000001</v>
      </c>
      <c r="F9" s="274"/>
      <c r="G9" s="280">
        <v>0.6656428571428572</v>
      </c>
      <c r="H9" s="281">
        <v>1.0676392857142856</v>
      </c>
      <c r="I9" s="281">
        <v>1.1429551724137932</v>
      </c>
      <c r="J9" s="281">
        <v>1.4026357142857144</v>
      </c>
      <c r="K9" s="281">
        <v>1.7803642857142858</v>
      </c>
      <c r="L9" s="281">
        <v>1.6158249999999998</v>
      </c>
      <c r="M9" s="281">
        <v>2.4560620689655175</v>
      </c>
      <c r="N9" s="281">
        <v>1.3488107142857142</v>
      </c>
      <c r="O9" s="281">
        <v>2.0808428571428577</v>
      </c>
      <c r="P9" s="281">
        <v>2.6525499999999997</v>
      </c>
      <c r="Q9" s="281">
        <v>3.2302</v>
      </c>
      <c r="R9" s="281">
        <v>3.0177729893692287</v>
      </c>
      <c r="S9" s="281">
        <v>2.7880333333333334</v>
      </c>
      <c r="T9" s="742">
        <v>1.5517666666666667</v>
      </c>
      <c r="U9" s="753">
        <v>1.1503333333333334</v>
      </c>
      <c r="V9" s="771">
        <v>1.7132499999999999</v>
      </c>
      <c r="W9" s="790">
        <v>2.0320499999999999</v>
      </c>
      <c r="X9" s="807">
        <v>1.6437666666666668</v>
      </c>
      <c r="Y9" s="836">
        <v>1.7398666666666667</v>
      </c>
      <c r="Z9" s="282">
        <v>1.793033333333333</v>
      </c>
      <c r="AA9"/>
      <c r="AB9"/>
      <c r="AC9" s="90"/>
      <c r="AD9" s="90"/>
      <c r="AE9" s="90"/>
      <c r="AF9" s="90"/>
      <c r="AG9" s="90"/>
      <c r="AH9" s="90"/>
      <c r="AI9" s="90"/>
      <c r="AJ9" s="90"/>
      <c r="AK9" s="90"/>
      <c r="AL9" s="90"/>
    </row>
    <row r="10" spans="2:38" ht="15" customHeight="1" x14ac:dyDescent="0.25">
      <c r="B10" s="555" t="s">
        <v>88</v>
      </c>
      <c r="C10" s="274">
        <v>0.45323548387096774</v>
      </c>
      <c r="D10" s="280">
        <v>1.0029935483870969</v>
      </c>
      <c r="E10" s="282">
        <v>0.94329032258064505</v>
      </c>
      <c r="F10" s="274"/>
      <c r="G10" s="280">
        <v>0.72844193548387104</v>
      </c>
      <c r="H10" s="281">
        <v>1.133074193548387</v>
      </c>
      <c r="I10" s="281">
        <v>1.1837258064516127</v>
      </c>
      <c r="J10" s="281">
        <v>1.4676741935483872</v>
      </c>
      <c r="K10" s="281">
        <v>1.800583870967742</v>
      </c>
      <c r="L10" s="281">
        <v>1.900974193548387</v>
      </c>
      <c r="M10" s="281">
        <v>2.669264516129032</v>
      </c>
      <c r="N10" s="281">
        <v>1.347009677419355</v>
      </c>
      <c r="O10" s="281">
        <v>2.2092032258064513</v>
      </c>
      <c r="P10" s="281">
        <v>3.0618999999999996</v>
      </c>
      <c r="Q10" s="281">
        <v>3.2614333333333332</v>
      </c>
      <c r="R10" s="281">
        <v>3.175091758579121</v>
      </c>
      <c r="S10" s="281">
        <v>2.8955333333333333</v>
      </c>
      <c r="T10" s="742">
        <v>1.8037000000000001</v>
      </c>
      <c r="U10" s="753">
        <v>1.3101666666666667</v>
      </c>
      <c r="V10" s="771">
        <v>1.6823333333333332</v>
      </c>
      <c r="W10" s="790">
        <v>1.9733000000000001</v>
      </c>
      <c r="X10" s="807">
        <v>1.8915999999999997</v>
      </c>
      <c r="Y10" s="836">
        <v>1.3878666666666668</v>
      </c>
      <c r="Z10" s="282">
        <v>2.0469666666666666</v>
      </c>
      <c r="AA10"/>
      <c r="AB10"/>
      <c r="AC10" s="90"/>
      <c r="AD10" s="90"/>
      <c r="AE10" s="90"/>
      <c r="AF10" s="90"/>
      <c r="AG10" s="90"/>
      <c r="AH10" s="90"/>
      <c r="AI10" s="90"/>
      <c r="AJ10" s="90"/>
      <c r="AK10" s="90"/>
      <c r="AL10" s="90"/>
    </row>
    <row r="11" spans="2:38" ht="15" customHeight="1" x14ac:dyDescent="0.25">
      <c r="B11" s="555" t="s">
        <v>145</v>
      </c>
      <c r="C11" s="274">
        <v>0.57757000000000003</v>
      </c>
      <c r="D11" s="280">
        <v>0.9198533333333333</v>
      </c>
      <c r="E11" s="282">
        <v>1.0340066666666667</v>
      </c>
      <c r="F11" s="274"/>
      <c r="G11" s="280">
        <v>0.90093999999999996</v>
      </c>
      <c r="H11" s="281">
        <v>0.96416666666666662</v>
      </c>
      <c r="I11" s="281">
        <v>1.2220133333333334</v>
      </c>
      <c r="J11" s="281">
        <v>1.6866566666666667</v>
      </c>
      <c r="K11" s="281">
        <v>2.1560300000000003</v>
      </c>
      <c r="L11" s="281">
        <v>2.154126666666667</v>
      </c>
      <c r="M11" s="281">
        <v>2.7985266666666671</v>
      </c>
      <c r="N11" s="281">
        <v>1.4726133333333336</v>
      </c>
      <c r="O11" s="281">
        <v>2.3088133333333332</v>
      </c>
      <c r="P11" s="281">
        <v>3.4556500000000003</v>
      </c>
      <c r="Q11" s="281">
        <v>3.4258000000000002</v>
      </c>
      <c r="R11" s="281">
        <v>3.0527621691241933</v>
      </c>
      <c r="S11" s="281">
        <v>2.9694500000000001</v>
      </c>
      <c r="T11" s="742">
        <v>1.9076249999999999</v>
      </c>
      <c r="U11" s="753">
        <v>1.5044000000000002</v>
      </c>
      <c r="V11" s="771">
        <v>1.7722</v>
      </c>
      <c r="W11" s="790">
        <v>2.1055999999999995</v>
      </c>
      <c r="X11" s="807">
        <v>2.1278000000000001</v>
      </c>
      <c r="Y11" s="836">
        <v>0.71589999999999998</v>
      </c>
      <c r="Z11" s="282">
        <v>2.1112000000000002</v>
      </c>
      <c r="AA11" s="819"/>
      <c r="AB11" s="819"/>
      <c r="AC11" s="90"/>
      <c r="AD11" s="90"/>
      <c r="AE11" s="90"/>
      <c r="AF11" s="90"/>
      <c r="AG11" s="90"/>
      <c r="AH11" s="90"/>
      <c r="AI11" s="90"/>
      <c r="AJ11" s="90"/>
      <c r="AK11" s="90"/>
      <c r="AL11" s="90"/>
    </row>
    <row r="12" spans="2:38" ht="15" customHeight="1" x14ac:dyDescent="0.25">
      <c r="B12" s="555" t="s">
        <v>90</v>
      </c>
      <c r="C12" s="274">
        <v>0.61867741935483878</v>
      </c>
      <c r="D12" s="280">
        <v>0.94753548387096787</v>
      </c>
      <c r="E12" s="282">
        <v>1.143083870967742</v>
      </c>
      <c r="F12" s="274"/>
      <c r="G12" s="280">
        <v>0.8904935483870966</v>
      </c>
      <c r="H12" s="281">
        <v>0.88043225806451619</v>
      </c>
      <c r="I12" s="281">
        <v>1.3268451612903225</v>
      </c>
      <c r="J12" s="281">
        <v>1.5751935483870969</v>
      </c>
      <c r="K12" s="281">
        <v>2.2973419354838711</v>
      </c>
      <c r="L12" s="281">
        <v>2.4000225806451612</v>
      </c>
      <c r="M12" s="281">
        <v>3.1702193548387094</v>
      </c>
      <c r="N12" s="281">
        <v>1.6213806451612902</v>
      </c>
      <c r="O12" s="281">
        <v>2.3064096774193552</v>
      </c>
      <c r="P12" s="281">
        <v>3.5635500000000002</v>
      </c>
      <c r="Q12" s="281">
        <v>3.1032333333333333</v>
      </c>
      <c r="R12" s="281">
        <v>2.9708550029824088</v>
      </c>
      <c r="S12" s="281">
        <v>3.0238666666666667</v>
      </c>
      <c r="T12" s="742">
        <v>2.0971666666666668</v>
      </c>
      <c r="U12" s="753">
        <v>1.6353500000000001</v>
      </c>
      <c r="V12" s="771">
        <v>1.7418333333333333</v>
      </c>
      <c r="W12" s="790">
        <v>2.2593000000000001</v>
      </c>
      <c r="X12" s="807">
        <v>2.1756666666666669</v>
      </c>
      <c r="Y12" s="836">
        <v>0.8612333333333333</v>
      </c>
      <c r="Z12" s="282">
        <v>2.1605333333333334</v>
      </c>
      <c r="AA12"/>
      <c r="AB12" s="820"/>
      <c r="AC12" s="90"/>
      <c r="AD12" s="90"/>
      <c r="AE12" s="90"/>
      <c r="AF12" s="90"/>
      <c r="AG12" s="90"/>
      <c r="AH12" s="90"/>
      <c r="AI12" s="90"/>
      <c r="AJ12" s="90"/>
      <c r="AK12" s="90"/>
      <c r="AL12" s="90"/>
    </row>
    <row r="13" spans="2:38" ht="15" customHeight="1" x14ac:dyDescent="0.25">
      <c r="B13" s="555" t="s">
        <v>91</v>
      </c>
      <c r="C13" s="274">
        <v>0.58635333333333339</v>
      </c>
      <c r="D13" s="280">
        <v>1.0541933333333333</v>
      </c>
      <c r="E13" s="282">
        <v>1.0089866666666667</v>
      </c>
      <c r="F13" s="274"/>
      <c r="G13" s="280">
        <v>0.86938666666666675</v>
      </c>
      <c r="H13" s="281">
        <v>0.91095333333333339</v>
      </c>
      <c r="I13" s="281">
        <v>1.3717133333333333</v>
      </c>
      <c r="J13" s="281">
        <v>1.5660466666666666</v>
      </c>
      <c r="K13" s="281">
        <v>2.2164599999999997</v>
      </c>
      <c r="L13" s="281">
        <v>2.4195233333333332</v>
      </c>
      <c r="M13" s="281">
        <v>3.4416366666666667</v>
      </c>
      <c r="N13" s="281">
        <v>1.9922548125207116</v>
      </c>
      <c r="O13" s="281">
        <v>2.0643199999999999</v>
      </c>
      <c r="P13" s="281">
        <v>3.2187000000000001</v>
      </c>
      <c r="Q13" s="281">
        <v>2.8637333333333337</v>
      </c>
      <c r="R13" s="281">
        <v>2.9634</v>
      </c>
      <c r="S13" s="281">
        <v>3.0957666666666661</v>
      </c>
      <c r="T13" s="742">
        <v>2.1783333333333332</v>
      </c>
      <c r="U13" s="753">
        <v>1.6610333333333334</v>
      </c>
      <c r="V13" s="771">
        <v>1.7032999999999998</v>
      </c>
      <c r="W13" s="790">
        <v>2.2697333333333334</v>
      </c>
      <c r="X13" s="807">
        <v>1.9926333333333333</v>
      </c>
      <c r="Y13" s="836">
        <v>1.1274666666666666</v>
      </c>
      <c r="Z13" s="282">
        <v>2.2188666666666665</v>
      </c>
      <c r="AA13"/>
      <c r="AB13"/>
      <c r="AC13" s="90"/>
      <c r="AD13" s="90"/>
      <c r="AE13" s="90"/>
      <c r="AF13" s="90"/>
      <c r="AG13" s="90"/>
      <c r="AH13" s="90"/>
      <c r="AI13" s="90"/>
      <c r="AJ13" s="90"/>
      <c r="AK13" s="90"/>
      <c r="AL13" s="90"/>
    </row>
    <row r="14" spans="2:38" ht="15" customHeight="1" x14ac:dyDescent="0.25">
      <c r="B14" s="555" t="s">
        <v>93</v>
      </c>
      <c r="C14" s="274">
        <v>0.65300967741935489</v>
      </c>
      <c r="D14" s="280">
        <v>1.0773354838709677</v>
      </c>
      <c r="E14" s="282">
        <v>0.81481935483870971</v>
      </c>
      <c r="F14" s="274"/>
      <c r="G14" s="280">
        <v>0.88454193548387106</v>
      </c>
      <c r="H14" s="281">
        <v>0.93768387096774197</v>
      </c>
      <c r="I14" s="281">
        <v>1.3103548387096773</v>
      </c>
      <c r="J14" s="281">
        <v>1.6827290322580646</v>
      </c>
      <c r="K14" s="281">
        <v>2.3289741935483872</v>
      </c>
      <c r="L14" s="281">
        <v>2.3355548387096778</v>
      </c>
      <c r="M14" s="281">
        <v>3.5063580645161294</v>
      </c>
      <c r="N14" s="281">
        <v>1.8800318718998048</v>
      </c>
      <c r="O14" s="281">
        <v>2.1484903225806451</v>
      </c>
      <c r="P14" s="281">
        <v>3.2530999999999999</v>
      </c>
      <c r="Q14" s="281">
        <v>2.8117000000000001</v>
      </c>
      <c r="R14" s="281">
        <v>3.0129999999999999</v>
      </c>
      <c r="S14" s="281">
        <v>3.0991666666666666</v>
      </c>
      <c r="T14" s="742">
        <v>2.2173333333333338</v>
      </c>
      <c r="U14" s="753">
        <v>1.5583750000000001</v>
      </c>
      <c r="V14" s="771">
        <v>1.6323333333333334</v>
      </c>
      <c r="W14" s="790">
        <v>2.2145333333333332</v>
      </c>
      <c r="X14" s="807">
        <v>2.0022666666666669</v>
      </c>
      <c r="Y14" s="836">
        <v>1.3358666666666668</v>
      </c>
      <c r="Z14" s="282">
        <v>2.3061666666666665</v>
      </c>
      <c r="AA14"/>
      <c r="AB14"/>
      <c r="AC14" s="90"/>
      <c r="AD14" s="90"/>
      <c r="AE14" s="90"/>
      <c r="AF14" s="90"/>
      <c r="AG14" s="90"/>
      <c r="AH14" s="90"/>
      <c r="AI14" s="90"/>
      <c r="AJ14" s="90"/>
      <c r="AK14" s="90"/>
      <c r="AL14" s="90"/>
    </row>
    <row r="15" spans="2:38" ht="15" customHeight="1" x14ac:dyDescent="0.25">
      <c r="B15" s="555" t="s">
        <v>94</v>
      </c>
      <c r="C15" s="274">
        <v>0.71318387096774194</v>
      </c>
      <c r="D15" s="280">
        <v>0.95225806451612915</v>
      </c>
      <c r="E15" s="282">
        <v>0.84618064516129032</v>
      </c>
      <c r="F15" s="274"/>
      <c r="G15" s="280">
        <v>0.8943741935483871</v>
      </c>
      <c r="H15" s="281">
        <v>1.0225032258064517</v>
      </c>
      <c r="I15" s="281">
        <v>1.3082354838709678</v>
      </c>
      <c r="J15" s="281">
        <v>1.8371096774193549</v>
      </c>
      <c r="K15" s="281">
        <v>2.3616580645161296</v>
      </c>
      <c r="L15" s="281">
        <v>2.1656612903225807</v>
      </c>
      <c r="M15" s="281">
        <v>3.1991541829018391</v>
      </c>
      <c r="N15" s="281">
        <v>1.9978451612903225</v>
      </c>
      <c r="O15" s="281">
        <v>2.1453870967741939</v>
      </c>
      <c r="P15" s="281">
        <v>3.2882666666666664</v>
      </c>
      <c r="Q15" s="281">
        <v>3.0302534393520961</v>
      </c>
      <c r="R15" s="281">
        <v>3.1330666666666667</v>
      </c>
      <c r="S15" s="281">
        <v>2.9371333333333332</v>
      </c>
      <c r="T15" s="742">
        <v>2.0146666666666668</v>
      </c>
      <c r="U15" s="753">
        <v>1.4984666666666666</v>
      </c>
      <c r="V15" s="771">
        <v>1.7798666666666667</v>
      </c>
      <c r="W15" s="790">
        <v>2.2293499999999997</v>
      </c>
      <c r="X15" s="807">
        <v>1.9158333333333335</v>
      </c>
      <c r="Y15" s="836">
        <v>1.3524</v>
      </c>
      <c r="Z15" s="282">
        <v>2.3344</v>
      </c>
      <c r="AA15"/>
      <c r="AB15"/>
      <c r="AC15" s="90"/>
      <c r="AD15" s="90"/>
      <c r="AE15" s="90"/>
      <c r="AF15" s="90"/>
      <c r="AG15" s="90"/>
      <c r="AH15" s="90"/>
      <c r="AI15" s="90"/>
      <c r="AJ15" s="90"/>
      <c r="AK15" s="90"/>
      <c r="AL15" s="90"/>
    </row>
    <row r="16" spans="2:38" ht="15" customHeight="1" x14ac:dyDescent="0.25">
      <c r="B16" s="555" t="s">
        <v>101</v>
      </c>
      <c r="C16" s="274">
        <v>0.74503999999999992</v>
      </c>
      <c r="D16" s="280">
        <v>1.0354800000000002</v>
      </c>
      <c r="E16" s="282">
        <v>0.9408200000000001</v>
      </c>
      <c r="F16" s="274"/>
      <c r="G16" s="280">
        <v>0.89552666666666669</v>
      </c>
      <c r="H16" s="281">
        <v>1.0251466666666667</v>
      </c>
      <c r="I16" s="281">
        <v>1.2760199999999999</v>
      </c>
      <c r="J16" s="281">
        <v>2.1421100000000002</v>
      </c>
      <c r="K16" s="281">
        <v>1.8940466666666667</v>
      </c>
      <c r="L16" s="281">
        <v>2.1712666666666669</v>
      </c>
      <c r="M16" s="281">
        <v>3.2838524055649065</v>
      </c>
      <c r="N16" s="281">
        <v>1.9437133333333336</v>
      </c>
      <c r="O16" s="281">
        <v>2.0678133333333335</v>
      </c>
      <c r="P16" s="281">
        <v>3.1819999999999999</v>
      </c>
      <c r="Q16" s="281">
        <v>3.2698490210324969</v>
      </c>
      <c r="R16" s="281">
        <v>2.9986333333333337</v>
      </c>
      <c r="S16" s="281">
        <v>2.8714</v>
      </c>
      <c r="T16" s="742">
        <v>1.6657666666666666</v>
      </c>
      <c r="U16" s="753">
        <v>1.5742666666666665</v>
      </c>
      <c r="V16" s="771">
        <v>1.8891666666666669</v>
      </c>
      <c r="W16" s="790">
        <v>2.1976666666666667</v>
      </c>
      <c r="X16" s="807">
        <v>1.8383666666666667</v>
      </c>
      <c r="Y16" s="836">
        <v>1.3631666666666666</v>
      </c>
      <c r="Z16" s="282">
        <v>2.3327333333333331</v>
      </c>
      <c r="AA16"/>
      <c r="AB16"/>
      <c r="AC16" s="90"/>
      <c r="AD16" s="90"/>
      <c r="AE16" s="90"/>
      <c r="AF16" s="90"/>
      <c r="AG16" s="90"/>
      <c r="AH16" s="90"/>
      <c r="AI16" s="90"/>
      <c r="AJ16" s="90"/>
      <c r="AK16" s="90"/>
      <c r="AL16" s="90"/>
    </row>
    <row r="17" spans="2:38" ht="15" customHeight="1" x14ac:dyDescent="0.25">
      <c r="B17" s="555" t="s">
        <v>95</v>
      </c>
      <c r="C17" s="274">
        <v>0.7643032258064516</v>
      </c>
      <c r="D17" s="280">
        <v>1.0094741935483871</v>
      </c>
      <c r="E17" s="282">
        <v>0.76713548387096775</v>
      </c>
      <c r="F17" s="274"/>
      <c r="G17" s="280">
        <v>0.94413225806451617</v>
      </c>
      <c r="H17" s="281">
        <v>0.919341935483871</v>
      </c>
      <c r="I17" s="281">
        <v>1.4449580645161291</v>
      </c>
      <c r="J17" s="281">
        <v>2.2798967741935483</v>
      </c>
      <c r="K17" s="281">
        <v>1.6457129032258064</v>
      </c>
      <c r="L17" s="281">
        <v>2.2093774193548388</v>
      </c>
      <c r="M17" s="281">
        <v>2.6597032258064517</v>
      </c>
      <c r="N17" s="281">
        <v>1.8773032258064515</v>
      </c>
      <c r="O17" s="281">
        <v>2.1662645161290324</v>
      </c>
      <c r="P17" s="281">
        <v>2.9539666666666662</v>
      </c>
      <c r="Q17" s="281">
        <v>3.2105910939855806</v>
      </c>
      <c r="R17" s="281">
        <v>2.7409203011033942</v>
      </c>
      <c r="S17" s="281">
        <v>2.5829250000000004</v>
      </c>
      <c r="T17" s="742">
        <v>1.4835333333333331</v>
      </c>
      <c r="U17" s="753">
        <v>1.6154999999999999</v>
      </c>
      <c r="V17" s="771">
        <v>1.8037666666666665</v>
      </c>
      <c r="W17" s="790">
        <v>2.2079999999999997</v>
      </c>
      <c r="X17" s="807">
        <v>1.8257666666666665</v>
      </c>
      <c r="Y17" s="836">
        <v>1.3309666666666666</v>
      </c>
      <c r="Z17" s="282">
        <v>2.4331999999999998</v>
      </c>
      <c r="AA17"/>
      <c r="AB17"/>
      <c r="AC17" s="90"/>
      <c r="AD17" s="90"/>
      <c r="AE17" s="90"/>
      <c r="AF17" s="90"/>
      <c r="AG17" s="90"/>
      <c r="AH17" s="90"/>
      <c r="AI17" s="90"/>
      <c r="AJ17" s="90"/>
      <c r="AK17" s="90"/>
      <c r="AL17" s="90"/>
    </row>
    <row r="18" spans="2:38" ht="15" customHeight="1" x14ac:dyDescent="0.25">
      <c r="B18" s="555" t="s">
        <v>96</v>
      </c>
      <c r="C18" s="274">
        <v>0.74112333333333325</v>
      </c>
      <c r="D18" s="280">
        <v>1.01098</v>
      </c>
      <c r="E18" s="282">
        <v>0.64737999999999996</v>
      </c>
      <c r="F18" s="274"/>
      <c r="G18" s="280">
        <v>0.92920333333333338</v>
      </c>
      <c r="H18" s="281">
        <v>0.94053333333333333</v>
      </c>
      <c r="I18" s="281">
        <v>1.4356200000000001</v>
      </c>
      <c r="J18" s="281">
        <v>1.6951533333333335</v>
      </c>
      <c r="K18" s="281">
        <v>1.6623499999999998</v>
      </c>
      <c r="L18" s="281">
        <v>2.4445066666666668</v>
      </c>
      <c r="M18" s="281">
        <v>1.5647433333333334</v>
      </c>
      <c r="N18" s="281">
        <v>2.0652333333333335</v>
      </c>
      <c r="O18" s="281">
        <v>2.22668</v>
      </c>
      <c r="P18" s="281">
        <v>2.9309000000000003</v>
      </c>
      <c r="Q18" s="281">
        <v>2.771587299904263</v>
      </c>
      <c r="R18" s="281">
        <v>2.6456860445256556</v>
      </c>
      <c r="S18" s="281">
        <v>2.2354333333333334</v>
      </c>
      <c r="T18" s="742">
        <v>1.4237333333333335</v>
      </c>
      <c r="U18" s="753">
        <v>1.5439999999999998</v>
      </c>
      <c r="V18" s="771">
        <v>1.8835333333333333</v>
      </c>
      <c r="W18" s="790">
        <v>1.9434333333333333</v>
      </c>
      <c r="X18" s="807">
        <v>1.8144333333333333</v>
      </c>
      <c r="Y18" s="836">
        <v>1.2763666666666669</v>
      </c>
      <c r="Z18" s="282">
        <v>2.5691666666666668</v>
      </c>
      <c r="AA18"/>
      <c r="AB18"/>
      <c r="AC18" s="90"/>
      <c r="AD18" s="90"/>
      <c r="AE18" s="90"/>
      <c r="AF18" s="90"/>
      <c r="AG18" s="90"/>
      <c r="AH18" s="90"/>
      <c r="AI18" s="90"/>
      <c r="AJ18" s="90"/>
      <c r="AK18" s="90"/>
      <c r="AL18" s="90"/>
    </row>
    <row r="19" spans="2:38" ht="15" customHeight="1" x14ac:dyDescent="0.25">
      <c r="B19" s="555" t="s">
        <v>97</v>
      </c>
      <c r="C19" s="274">
        <v>0.81459677419354848</v>
      </c>
      <c r="D19" s="280">
        <v>0.93817741935483878</v>
      </c>
      <c r="E19" s="282">
        <v>0.59492307692307689</v>
      </c>
      <c r="F19" s="274"/>
      <c r="G19" s="280">
        <v>0.83368387096774199</v>
      </c>
      <c r="H19" s="281">
        <v>0.95999677419354845</v>
      </c>
      <c r="I19" s="281">
        <v>1.2900516129032258</v>
      </c>
      <c r="J19" s="281">
        <v>1.6268387096774195</v>
      </c>
      <c r="K19" s="281">
        <v>1.7212064516129033</v>
      </c>
      <c r="L19" s="281">
        <v>2.4205064516129036</v>
      </c>
      <c r="M19" s="281">
        <v>1.1670419354838708</v>
      </c>
      <c r="N19" s="281">
        <v>2.0327825976298679</v>
      </c>
      <c r="O19" s="281">
        <v>2.3482903225806449</v>
      </c>
      <c r="P19" s="281">
        <v>2.8477666666666668</v>
      </c>
      <c r="Q19" s="281">
        <v>2.7221197817569069</v>
      </c>
      <c r="R19" s="281">
        <v>2.7323500000000003</v>
      </c>
      <c r="S19" s="281">
        <v>1.75075</v>
      </c>
      <c r="T19" s="742">
        <v>1.3708333333333333</v>
      </c>
      <c r="U19" s="753">
        <v>1.5802666666666667</v>
      </c>
      <c r="V19" s="771">
        <v>1.8849666666666665</v>
      </c>
      <c r="W19" s="790">
        <v>1.6580000000000001</v>
      </c>
      <c r="X19" s="807">
        <v>1.8055999999999999</v>
      </c>
      <c r="Y19" s="836">
        <v>1.4285666666666668</v>
      </c>
      <c r="Z19" s="282">
        <v>2.3237666666666663</v>
      </c>
      <c r="AA19"/>
      <c r="AB19"/>
      <c r="AC19" s="90"/>
      <c r="AD19" s="90"/>
      <c r="AE19" s="90"/>
      <c r="AF19" s="90"/>
      <c r="AG19" s="90"/>
      <c r="AH19" s="90"/>
      <c r="AI19" s="90"/>
      <c r="AJ19" s="90"/>
      <c r="AK19" s="90"/>
      <c r="AL19" s="90"/>
    </row>
    <row r="20" spans="2:38" ht="15" customHeight="1" thickBot="1" x14ac:dyDescent="0.3">
      <c r="B20" s="600"/>
      <c r="C20" s="288"/>
      <c r="D20" s="283"/>
      <c r="E20" s="291"/>
      <c r="F20" s="420"/>
      <c r="G20" s="421"/>
      <c r="H20" s="290"/>
      <c r="I20" s="328"/>
      <c r="J20" s="328"/>
      <c r="K20" s="328"/>
      <c r="L20" s="328"/>
      <c r="M20" s="328"/>
      <c r="N20" s="328"/>
      <c r="O20" s="281"/>
      <c r="P20" s="281"/>
      <c r="Q20" s="281"/>
      <c r="R20" s="281"/>
      <c r="S20" s="281"/>
      <c r="T20" s="742"/>
      <c r="U20" s="753"/>
      <c r="V20" s="771"/>
      <c r="W20" s="790"/>
      <c r="X20" s="807"/>
      <c r="Y20" s="836"/>
      <c r="Z20" s="282"/>
      <c r="AA20"/>
      <c r="AB20"/>
    </row>
    <row r="21" spans="2:38" ht="15" customHeight="1" thickBot="1" x14ac:dyDescent="0.3">
      <c r="B21" s="602" t="s">
        <v>99</v>
      </c>
      <c r="C21" s="292">
        <v>0.62862739726027406</v>
      </c>
      <c r="D21" s="293">
        <v>0.96825683060109291</v>
      </c>
      <c r="E21" s="294">
        <v>0.89416777777777778</v>
      </c>
      <c r="F21" s="276"/>
      <c r="G21" s="285">
        <v>0.84265369863013717</v>
      </c>
      <c r="H21" s="286">
        <v>0.97701671232876708</v>
      </c>
      <c r="I21" s="286">
        <v>1.2816964480874316</v>
      </c>
      <c r="J21" s="286">
        <v>1.6882227397260277</v>
      </c>
      <c r="K21" s="286">
        <v>1.9736410958904109</v>
      </c>
      <c r="L21" s="286">
        <v>2.1601421917808219</v>
      </c>
      <c r="M21" s="286">
        <v>2.701447682614492</v>
      </c>
      <c r="N21" s="286">
        <v>1.7275016244686057</v>
      </c>
      <c r="O21" s="451">
        <v>2.1844676712328766</v>
      </c>
      <c r="P21" s="451">
        <v>3.0859999999999999</v>
      </c>
      <c r="Q21" s="451">
        <v>3.0539999999999998</v>
      </c>
      <c r="R21" s="451">
        <v>2.9398</v>
      </c>
      <c r="S21" s="451">
        <v>1.7667999999999999</v>
      </c>
      <c r="T21" s="739">
        <v>1.7667999999999999</v>
      </c>
      <c r="U21" s="750">
        <v>1.4953000000000001</v>
      </c>
      <c r="V21" s="767">
        <v>1.7715000000000001</v>
      </c>
      <c r="W21" s="787">
        <v>2.0884</v>
      </c>
      <c r="X21" s="803">
        <v>1.8795999999999999</v>
      </c>
      <c r="Y21" s="832">
        <v>1.3141</v>
      </c>
      <c r="Z21" s="443">
        <v>2.1865000000000001</v>
      </c>
      <c r="AA21"/>
      <c r="AB21"/>
    </row>
    <row r="22" spans="2:38" ht="15" customHeight="1" thickBot="1" x14ac:dyDescent="0.3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27"/>
      <c r="O22" s="427"/>
      <c r="P22" s="427"/>
      <c r="Z22"/>
      <c r="AA22"/>
      <c r="AB22"/>
    </row>
    <row r="23" spans="2:38" ht="15" customHeight="1" thickBot="1" x14ac:dyDescent="0.3">
      <c r="B23" s="916" t="s">
        <v>39</v>
      </c>
      <c r="C23" s="853" t="s">
        <v>197</v>
      </c>
      <c r="D23" s="854"/>
      <c r="E23" s="855"/>
      <c r="F23" s="919" t="s">
        <v>198</v>
      </c>
      <c r="G23" s="920"/>
      <c r="H23" s="920"/>
      <c r="I23" s="920"/>
      <c r="J23" s="920"/>
      <c r="K23" s="920"/>
      <c r="L23" s="920"/>
      <c r="M23" s="920"/>
      <c r="N23" s="920"/>
      <c r="O23" s="920"/>
      <c r="P23" s="920"/>
      <c r="Q23" s="920"/>
      <c r="R23" s="920"/>
      <c r="S23" s="920"/>
      <c r="T23" s="920"/>
      <c r="U23" s="920"/>
      <c r="V23" s="920"/>
      <c r="W23" s="920"/>
      <c r="X23" s="920"/>
      <c r="Y23" s="920"/>
      <c r="Z23" s="921"/>
      <c r="AA23"/>
      <c r="AB23"/>
    </row>
    <row r="24" spans="2:38" ht="15" customHeight="1" thickBot="1" x14ac:dyDescent="0.3">
      <c r="B24" s="937"/>
      <c r="C24" s="603">
        <v>1999</v>
      </c>
      <c r="D24" s="588">
        <v>2000</v>
      </c>
      <c r="E24" s="552">
        <v>2001</v>
      </c>
      <c r="F24" s="682">
        <v>2001</v>
      </c>
      <c r="G24" s="683">
        <v>2002</v>
      </c>
      <c r="H24" s="683">
        <v>2003</v>
      </c>
      <c r="I24" s="683">
        <v>2004</v>
      </c>
      <c r="J24" s="684">
        <v>2005</v>
      </c>
      <c r="K24" s="684">
        <v>2006</v>
      </c>
      <c r="L24" s="684">
        <v>2007</v>
      </c>
      <c r="M24" s="684">
        <v>2008</v>
      </c>
      <c r="N24" s="684">
        <v>2009</v>
      </c>
      <c r="O24" s="684">
        <v>2010</v>
      </c>
      <c r="P24" s="684">
        <v>2011</v>
      </c>
      <c r="Q24" s="684">
        <v>2012</v>
      </c>
      <c r="R24" s="684">
        <v>2013</v>
      </c>
      <c r="S24" s="684">
        <v>2014</v>
      </c>
      <c r="T24" s="684">
        <v>2015</v>
      </c>
      <c r="U24" s="684">
        <v>2016</v>
      </c>
      <c r="V24" s="684">
        <v>2017</v>
      </c>
      <c r="W24" s="684">
        <v>2018</v>
      </c>
      <c r="X24" s="684">
        <v>2019</v>
      </c>
      <c r="Y24" s="684">
        <v>2020</v>
      </c>
      <c r="Z24" s="838">
        <v>2021</v>
      </c>
      <c r="AA24"/>
      <c r="AB24"/>
    </row>
    <row r="25" spans="2:38" ht="15" customHeight="1" x14ac:dyDescent="0.25">
      <c r="B25" s="599"/>
      <c r="C25" s="273"/>
      <c r="D25" s="277"/>
      <c r="E25" s="279"/>
      <c r="F25" s="273"/>
      <c r="G25" s="277"/>
      <c r="H25" s="297"/>
      <c r="I25" s="297"/>
      <c r="J25" s="297"/>
      <c r="K25" s="297"/>
      <c r="L25" s="297"/>
      <c r="M25" s="297"/>
      <c r="N25" s="297"/>
      <c r="O25" s="297"/>
      <c r="P25" s="278"/>
      <c r="Q25" s="278"/>
      <c r="R25" s="278"/>
      <c r="S25" s="278"/>
      <c r="T25" s="737"/>
      <c r="U25" s="752"/>
      <c r="V25" s="770"/>
      <c r="W25" s="789"/>
      <c r="X25" s="806"/>
      <c r="Y25" s="835"/>
      <c r="Z25" s="279"/>
      <c r="AA25"/>
      <c r="AB25"/>
    </row>
    <row r="26" spans="2:38" ht="15" customHeight="1" x14ac:dyDescent="0.25">
      <c r="B26" s="555" t="s">
        <v>144</v>
      </c>
      <c r="C26" s="274">
        <v>0.45421612903225805</v>
      </c>
      <c r="D26" s="280">
        <v>0.81709032258064529</v>
      </c>
      <c r="E26" s="282">
        <v>0.96350967741935489</v>
      </c>
      <c r="F26" s="274">
        <v>0.99486666666666657</v>
      </c>
      <c r="G26" s="280">
        <v>0.68652258064516125</v>
      </c>
      <c r="H26" s="281">
        <v>0.98862258064516129</v>
      </c>
      <c r="I26" s="281">
        <v>1.1038838709677419</v>
      </c>
      <c r="J26" s="281">
        <v>1.288267741935484</v>
      </c>
      <c r="K26" s="281">
        <v>1.9139806451612902</v>
      </c>
      <c r="L26" s="281">
        <v>1.7669064516129034</v>
      </c>
      <c r="M26" s="281">
        <v>2.592490322580645</v>
      </c>
      <c r="N26" s="281">
        <v>1.197683870967742</v>
      </c>
      <c r="O26" s="281">
        <v>2.1803354838709676</v>
      </c>
      <c r="P26" s="281">
        <v>2.5493000000000001</v>
      </c>
      <c r="Q26" s="281">
        <v>3.1644666666666672</v>
      </c>
      <c r="R26" s="281">
        <v>3.1229235499383106</v>
      </c>
      <c r="S26" s="281">
        <v>3.0140000000000002</v>
      </c>
      <c r="T26" s="742">
        <v>1.7161</v>
      </c>
      <c r="U26" s="753">
        <v>1.4576333333333331</v>
      </c>
      <c r="V26" s="771">
        <v>1.8906999999999998</v>
      </c>
      <c r="W26" s="790">
        <v>2.0766999999999998</v>
      </c>
      <c r="X26" s="807">
        <v>1.6439666666666668</v>
      </c>
      <c r="Y26" s="836">
        <v>1.9910666666666665</v>
      </c>
      <c r="Z26" s="282">
        <v>1.6694333333333333</v>
      </c>
      <c r="AA26"/>
      <c r="AB26"/>
    </row>
    <row r="27" spans="2:38" ht="15" customHeight="1" x14ac:dyDescent="0.25">
      <c r="B27" s="555" t="s">
        <v>87</v>
      </c>
      <c r="C27" s="274">
        <v>0.46110000000000001</v>
      </c>
      <c r="D27" s="280">
        <v>0.89559310344827592</v>
      </c>
      <c r="E27" s="282">
        <v>1.034</v>
      </c>
      <c r="F27" s="274">
        <v>1.0289499999999998</v>
      </c>
      <c r="G27" s="280">
        <v>0.68660714285714286</v>
      </c>
      <c r="H27" s="281">
        <v>1.0842928571428572</v>
      </c>
      <c r="I27" s="281">
        <v>1.1933172413793103</v>
      </c>
      <c r="J27" s="281">
        <v>1.4152214285714284</v>
      </c>
      <c r="K27" s="281">
        <v>1.8608642857142856</v>
      </c>
      <c r="L27" s="281">
        <v>1.719325</v>
      </c>
      <c r="M27" s="281">
        <v>2.5495172413793101</v>
      </c>
      <c r="N27" s="281">
        <v>1.4661035714285713</v>
      </c>
      <c r="O27" s="281">
        <v>2.1313071428571431</v>
      </c>
      <c r="P27" s="281">
        <v>2.5804499999999999</v>
      </c>
      <c r="Q27" s="281">
        <v>3.4364000000000003</v>
      </c>
      <c r="R27" s="281">
        <v>3.3585884538344133</v>
      </c>
      <c r="S27" s="281">
        <v>3.0836333333333332</v>
      </c>
      <c r="T27" s="742">
        <v>1.7318333333333333</v>
      </c>
      <c r="U27" s="753">
        <v>1.3132999999999999</v>
      </c>
      <c r="V27" s="771">
        <v>1.83965</v>
      </c>
      <c r="W27" s="790">
        <v>2.1599500000000003</v>
      </c>
      <c r="X27" s="807">
        <v>1.7828333333333333</v>
      </c>
      <c r="Y27" s="836">
        <v>1.8776333333333335</v>
      </c>
      <c r="Z27" s="282">
        <v>1.8495999999999999</v>
      </c>
      <c r="AA27"/>
      <c r="AB27"/>
    </row>
    <row r="28" spans="2:38" ht="15" customHeight="1" x14ac:dyDescent="0.25">
      <c r="B28" s="555" t="s">
        <v>88</v>
      </c>
      <c r="C28" s="274">
        <v>0.48364516129032253</v>
      </c>
      <c r="D28" s="280">
        <v>1.0139032258064515</v>
      </c>
      <c r="E28" s="282">
        <v>0.961832258064516</v>
      </c>
      <c r="F28" s="274">
        <v>0.95309032258064519</v>
      </c>
      <c r="G28" s="280">
        <v>0.74962903225806443</v>
      </c>
      <c r="H28" s="281">
        <v>1.1538677419354837</v>
      </c>
      <c r="I28" s="281">
        <v>1.2211225806451611</v>
      </c>
      <c r="J28" s="281">
        <v>1.4824548387096774</v>
      </c>
      <c r="K28" s="281">
        <v>1.9113290322580645</v>
      </c>
      <c r="L28" s="281">
        <v>2.020206451612903</v>
      </c>
      <c r="M28" s="281">
        <v>2.801903225806452</v>
      </c>
      <c r="N28" s="281">
        <v>1.4440032258064517</v>
      </c>
      <c r="O28" s="281">
        <v>2.282122580645161</v>
      </c>
      <c r="P28" s="281">
        <v>2.9682500000000003</v>
      </c>
      <c r="Q28" s="281">
        <v>3.4088333333333338</v>
      </c>
      <c r="R28" s="281">
        <v>3.5422985816404537</v>
      </c>
      <c r="S28" s="281">
        <v>3.2202999999999999</v>
      </c>
      <c r="T28" s="742">
        <v>1.9705666666666666</v>
      </c>
      <c r="U28" s="753">
        <v>1.4373666666666667</v>
      </c>
      <c r="V28" s="771">
        <v>1.7969333333333335</v>
      </c>
      <c r="W28" s="790">
        <v>2.0985333333333336</v>
      </c>
      <c r="X28" s="807">
        <v>2.0595666666666665</v>
      </c>
      <c r="Y28" s="836">
        <v>1.5461</v>
      </c>
      <c r="Z28" s="282">
        <v>2.1147666666666667</v>
      </c>
      <c r="AA28"/>
      <c r="AB28"/>
    </row>
    <row r="29" spans="2:38" ht="15" customHeight="1" x14ac:dyDescent="0.25">
      <c r="B29" s="555" t="s">
        <v>145</v>
      </c>
      <c r="C29" s="274">
        <v>0.60921999999999998</v>
      </c>
      <c r="D29" s="280">
        <v>0.94467666666666661</v>
      </c>
      <c r="E29" s="282">
        <v>1.0432666666666668</v>
      </c>
      <c r="F29" s="274">
        <v>1.0438333333333334</v>
      </c>
      <c r="G29" s="280">
        <v>0.92576999999999998</v>
      </c>
      <c r="H29" s="281">
        <v>1.0172866666666667</v>
      </c>
      <c r="I29" s="281">
        <v>1.2716466666666666</v>
      </c>
      <c r="J29" s="281">
        <v>1.7608400000000002</v>
      </c>
      <c r="K29" s="281">
        <v>2.3534600000000001</v>
      </c>
      <c r="L29" s="281">
        <v>2.4375733333333329</v>
      </c>
      <c r="M29" s="281">
        <v>2.9578333333333333</v>
      </c>
      <c r="N29" s="281">
        <v>1.5956333333333332</v>
      </c>
      <c r="O29" s="281">
        <v>2.4523833333333331</v>
      </c>
      <c r="P29" s="281">
        <v>3.2582</v>
      </c>
      <c r="Q29" s="281">
        <v>3.6371666666666669</v>
      </c>
      <c r="R29" s="281">
        <v>3.3689752437197491</v>
      </c>
      <c r="S29" s="281">
        <v>3.16</v>
      </c>
      <c r="T29" s="742">
        <v>2.0827500000000003</v>
      </c>
      <c r="U29" s="753">
        <v>1.6323000000000001</v>
      </c>
      <c r="V29" s="771">
        <v>1.8724333333333334</v>
      </c>
      <c r="W29" s="790">
        <v>2.2265999999999999</v>
      </c>
      <c r="X29" s="807">
        <v>2.2902666666666662</v>
      </c>
      <c r="Y29" s="836">
        <v>0.76744999999999997</v>
      </c>
      <c r="Z29" s="282">
        <v>2.1859333333333333</v>
      </c>
      <c r="AA29" s="819"/>
      <c r="AB29" s="819"/>
    </row>
    <row r="30" spans="2:38" ht="15" customHeight="1" x14ac:dyDescent="0.25">
      <c r="B30" s="555" t="s">
        <v>90</v>
      </c>
      <c r="C30" s="274">
        <v>0.65300000000000002</v>
      </c>
      <c r="D30" s="280">
        <v>0.98430000000000006</v>
      </c>
      <c r="E30" s="282">
        <v>1.1498064516129034</v>
      </c>
      <c r="F30" s="274">
        <v>1.1540419354838709</v>
      </c>
      <c r="G30" s="280">
        <v>0.91714193548387102</v>
      </c>
      <c r="H30" s="281">
        <v>0.9363258064516129</v>
      </c>
      <c r="I30" s="281">
        <v>1.388890322580645</v>
      </c>
      <c r="J30" s="281">
        <v>1.6738677419354837</v>
      </c>
      <c r="K30" s="281">
        <v>2.504516129032258</v>
      </c>
      <c r="L30" s="281">
        <v>2.5654451612903224</v>
      </c>
      <c r="M30" s="281">
        <v>3.3017096774193542</v>
      </c>
      <c r="N30" s="281">
        <v>1.7534322580645159</v>
      </c>
      <c r="O30" s="281">
        <v>2.4469645161290323</v>
      </c>
      <c r="P30" s="281">
        <v>3.3934499999999996</v>
      </c>
      <c r="Q30" s="281">
        <v>3.4555666666666665</v>
      </c>
      <c r="R30" s="281">
        <v>3.3264479044224085</v>
      </c>
      <c r="S30" s="281">
        <v>3.2794666666666665</v>
      </c>
      <c r="T30" s="742">
        <v>2.3637333333333337</v>
      </c>
      <c r="U30" s="753">
        <v>1.76475</v>
      </c>
      <c r="V30" s="771">
        <v>1.8632333333333335</v>
      </c>
      <c r="W30" s="790">
        <v>2.3422666666666667</v>
      </c>
      <c r="X30" s="807">
        <v>2.2626333333333335</v>
      </c>
      <c r="Y30" s="836">
        <v>0.92696666666666661</v>
      </c>
      <c r="Z30" s="282">
        <v>2.254633333333333</v>
      </c>
      <c r="AA30"/>
      <c r="AB30" s="820"/>
    </row>
    <row r="31" spans="2:38" ht="15" customHeight="1" x14ac:dyDescent="0.25">
      <c r="B31" s="555" t="s">
        <v>91</v>
      </c>
      <c r="C31" s="274">
        <v>0.6194533333333333</v>
      </c>
      <c r="D31" s="280">
        <v>1.0815733333333333</v>
      </c>
      <c r="E31" s="282">
        <v>1.0261800000000001</v>
      </c>
      <c r="F31" s="274">
        <v>1.02112</v>
      </c>
      <c r="G31" s="280">
        <v>0.89189333333333343</v>
      </c>
      <c r="H31" s="281">
        <v>0.9530966666666667</v>
      </c>
      <c r="I31" s="281">
        <v>1.4326166666666666</v>
      </c>
      <c r="J31" s="281">
        <v>1.6387533333333335</v>
      </c>
      <c r="K31" s="281">
        <v>2.6077999999999997</v>
      </c>
      <c r="L31" s="281">
        <v>2.5414433333333331</v>
      </c>
      <c r="M31" s="281">
        <v>3.4984700000000002</v>
      </c>
      <c r="N31" s="281">
        <v>2.0817043394921395</v>
      </c>
      <c r="O31" s="281">
        <v>2.1458333333333335</v>
      </c>
      <c r="P31" s="281">
        <v>3.05715</v>
      </c>
      <c r="Q31" s="281">
        <v>3.2609666666666666</v>
      </c>
      <c r="R31" s="281">
        <v>3.3578333333333332</v>
      </c>
      <c r="S31" s="281">
        <v>3.3227666666666669</v>
      </c>
      <c r="T31" s="742">
        <v>2.5525333333333333</v>
      </c>
      <c r="U31" s="753">
        <v>1.7706</v>
      </c>
      <c r="V31" s="771">
        <v>1.8199666666666665</v>
      </c>
      <c r="W31" s="790">
        <v>2.3840333333333334</v>
      </c>
      <c r="X31" s="807">
        <v>2.0783</v>
      </c>
      <c r="Y31" s="836">
        <v>1.2105666666666668</v>
      </c>
      <c r="Z31" s="282">
        <v>2.3313333333333333</v>
      </c>
      <c r="AA31"/>
      <c r="AB31"/>
    </row>
    <row r="32" spans="2:38" ht="15" customHeight="1" x14ac:dyDescent="0.25">
      <c r="B32" s="555" t="s">
        <v>93</v>
      </c>
      <c r="C32" s="274">
        <v>0.67580967741935483</v>
      </c>
      <c r="D32" s="280">
        <v>1.1005225806451613</v>
      </c>
      <c r="E32" s="282">
        <v>0.83035483870967741</v>
      </c>
      <c r="F32" s="274">
        <v>0.82373225806451622</v>
      </c>
      <c r="G32" s="280">
        <v>0.91113225806451614</v>
      </c>
      <c r="H32" s="281">
        <v>0.97622580645161294</v>
      </c>
      <c r="I32" s="281">
        <v>1.3629709677419355</v>
      </c>
      <c r="J32" s="281">
        <v>1.7832741935483871</v>
      </c>
      <c r="K32" s="281">
        <v>2.5540225806451615</v>
      </c>
      <c r="L32" s="281">
        <v>2.5937838709677417</v>
      </c>
      <c r="M32" s="281">
        <v>3.5769322580645162</v>
      </c>
      <c r="N32" s="281">
        <v>1.9501660798629386</v>
      </c>
      <c r="O32" s="281">
        <v>2.2293580645161288</v>
      </c>
      <c r="P32" s="281">
        <v>3.0156999999999998</v>
      </c>
      <c r="Q32" s="281">
        <v>3.1739333333333328</v>
      </c>
      <c r="R32" s="281">
        <v>3.3507333333333329</v>
      </c>
      <c r="S32" s="281">
        <v>3.308733333333334</v>
      </c>
      <c r="T32" s="742">
        <v>2.6141333333333332</v>
      </c>
      <c r="U32" s="753">
        <v>1.6549499999999999</v>
      </c>
      <c r="V32" s="771">
        <v>1.7082333333333333</v>
      </c>
      <c r="W32" s="790">
        <v>2.3111333333333337</v>
      </c>
      <c r="X32" s="807">
        <v>2.1470666666666669</v>
      </c>
      <c r="Y32" s="836">
        <v>1.4010333333333334</v>
      </c>
      <c r="Z32" s="282">
        <v>2.4484666666666666</v>
      </c>
      <c r="AA32"/>
      <c r="AB32"/>
    </row>
    <row r="33" spans="2:28" ht="15" customHeight="1" x14ac:dyDescent="0.25">
      <c r="B33" s="555" t="s">
        <v>94</v>
      </c>
      <c r="C33" s="274">
        <v>0.74035161290322582</v>
      </c>
      <c r="D33" s="280">
        <v>0.97936774193548382</v>
      </c>
      <c r="E33" s="282">
        <v>0.86632258064516132</v>
      </c>
      <c r="F33" s="274">
        <v>0.86603870967741925</v>
      </c>
      <c r="G33" s="280">
        <v>0.91228709677419351</v>
      </c>
      <c r="H33" s="281">
        <v>1.0700709677419356</v>
      </c>
      <c r="I33" s="281">
        <v>1.3748451612903225</v>
      </c>
      <c r="J33" s="281">
        <v>1.9780161290322578</v>
      </c>
      <c r="K33" s="281">
        <v>2.707448387096774</v>
      </c>
      <c r="L33" s="281">
        <v>2.3782000000000001</v>
      </c>
      <c r="M33" s="281">
        <v>3.294004383335019</v>
      </c>
      <c r="N33" s="281">
        <v>2.054158064516129</v>
      </c>
      <c r="O33" s="281">
        <v>2.2156806451612905</v>
      </c>
      <c r="P33" s="281">
        <v>3.0609999999999999</v>
      </c>
      <c r="Q33" s="281">
        <v>3.3831170993787629</v>
      </c>
      <c r="R33" s="281">
        <v>3.4177999999999997</v>
      </c>
      <c r="S33" s="281">
        <v>3.1009666666666669</v>
      </c>
      <c r="T33" s="742">
        <v>2.3674666666666666</v>
      </c>
      <c r="U33" s="753">
        <v>1.5827666666666669</v>
      </c>
      <c r="V33" s="771">
        <v>1.8798999999999999</v>
      </c>
      <c r="W33" s="790">
        <v>2.3007249999999999</v>
      </c>
      <c r="X33" s="807">
        <v>2.018733333333333</v>
      </c>
      <c r="Y33" s="836">
        <v>1.3994666666666664</v>
      </c>
      <c r="Z33" s="282">
        <v>2.4695</v>
      </c>
      <c r="AA33"/>
      <c r="AB33"/>
    </row>
    <row r="34" spans="2:28" ht="15" customHeight="1" x14ac:dyDescent="0.25">
      <c r="B34" s="555" t="s">
        <v>101</v>
      </c>
      <c r="C34" s="274">
        <v>0.77558666666666676</v>
      </c>
      <c r="D34" s="280">
        <v>1.0566733333333334</v>
      </c>
      <c r="E34" s="282">
        <v>0.97467000000000004</v>
      </c>
      <c r="F34" s="274">
        <v>0.98537000000000008</v>
      </c>
      <c r="G34" s="280">
        <v>0.91652666666666671</v>
      </c>
      <c r="H34" s="281">
        <v>1.1101566666666669</v>
      </c>
      <c r="I34" s="281">
        <v>1.3547466666666668</v>
      </c>
      <c r="J34" s="281">
        <v>2.2744266666666664</v>
      </c>
      <c r="K34" s="281">
        <v>2.0667066666666667</v>
      </c>
      <c r="L34" s="281">
        <v>2.3350066666666667</v>
      </c>
      <c r="M34" s="281">
        <v>3.4264834964506208</v>
      </c>
      <c r="N34" s="281">
        <v>2.0125999999999999</v>
      </c>
      <c r="O34" s="281">
        <v>2.1101999999999999</v>
      </c>
      <c r="P34" s="281">
        <v>2.9983333333333331</v>
      </c>
      <c r="Q34" s="281">
        <v>3.5903345252191627</v>
      </c>
      <c r="R34" s="281">
        <v>3.2501666666666669</v>
      </c>
      <c r="S34" s="281">
        <v>3.0798333333333332</v>
      </c>
      <c r="T34" s="742">
        <v>1.9083666666666668</v>
      </c>
      <c r="U34" s="753">
        <v>1.6729000000000001</v>
      </c>
      <c r="V34" s="771">
        <v>2.1046</v>
      </c>
      <c r="W34" s="790">
        <v>2.2890999999999999</v>
      </c>
      <c r="X34" s="807">
        <v>1.9525999999999997</v>
      </c>
      <c r="Y34" s="836">
        <v>1.4261666666666668</v>
      </c>
      <c r="Z34" s="282">
        <v>2.4278333333333335</v>
      </c>
      <c r="AA34"/>
      <c r="AB34"/>
    </row>
    <row r="35" spans="2:28" ht="15" customHeight="1" x14ac:dyDescent="0.25">
      <c r="B35" s="555" t="s">
        <v>95</v>
      </c>
      <c r="C35" s="274">
        <v>0.79308387096774191</v>
      </c>
      <c r="D35" s="280">
        <v>1.0290548387096774</v>
      </c>
      <c r="E35" s="282">
        <v>0.79781612903225818</v>
      </c>
      <c r="F35" s="274">
        <v>0.80426129032258065</v>
      </c>
      <c r="G35" s="280">
        <v>0.96573870967741948</v>
      </c>
      <c r="H35" s="281">
        <v>0.98795806451612911</v>
      </c>
      <c r="I35" s="281">
        <v>1.4948064516129034</v>
      </c>
      <c r="J35" s="281">
        <v>2.5171967741935486</v>
      </c>
      <c r="K35" s="281">
        <v>1.7949161290322584</v>
      </c>
      <c r="L35" s="281">
        <v>2.3111548387096779</v>
      </c>
      <c r="M35" s="281">
        <v>2.8244741935483866</v>
      </c>
      <c r="N35" s="281">
        <v>1.971816129032258</v>
      </c>
      <c r="O35" s="281">
        <v>2.2505193548387097</v>
      </c>
      <c r="P35" s="281">
        <v>2.8299000000000003</v>
      </c>
      <c r="Q35" s="281">
        <v>3.5373636324655799</v>
      </c>
      <c r="R35" s="281">
        <v>2.9502684884491526</v>
      </c>
      <c r="S35" s="281">
        <v>2.9703999999999997</v>
      </c>
      <c r="T35" s="742">
        <v>1.6690333333333331</v>
      </c>
      <c r="U35" s="753">
        <v>1.7542333333333333</v>
      </c>
      <c r="V35" s="771">
        <v>1.9714333333333329</v>
      </c>
      <c r="W35" s="790">
        <v>2.3520999999999996</v>
      </c>
      <c r="X35" s="807">
        <v>2.0053666666666667</v>
      </c>
      <c r="Y35" s="836">
        <v>1.3995</v>
      </c>
      <c r="Z35" s="282">
        <v>2.5276333333333336</v>
      </c>
      <c r="AA35"/>
      <c r="AB35"/>
    </row>
    <row r="36" spans="2:28" ht="15" customHeight="1" x14ac:dyDescent="0.25">
      <c r="B36" s="555" t="s">
        <v>96</v>
      </c>
      <c r="C36" s="274">
        <v>0.76673333333333338</v>
      </c>
      <c r="D36" s="280">
        <v>1.0278233333333333</v>
      </c>
      <c r="E36" s="282">
        <v>0.67460000000000009</v>
      </c>
      <c r="F36" s="274">
        <v>0.67744000000000004</v>
      </c>
      <c r="G36" s="280">
        <v>0.95069666666666663</v>
      </c>
      <c r="H36" s="281">
        <v>0.98941333333333337</v>
      </c>
      <c r="I36" s="281">
        <v>1.451306666666667</v>
      </c>
      <c r="J36" s="281">
        <v>1.7775733333333332</v>
      </c>
      <c r="K36" s="281">
        <v>1.826013333333333</v>
      </c>
      <c r="L36" s="281">
        <v>2.5771266666666666</v>
      </c>
      <c r="M36" s="281">
        <v>1.6987399999999999</v>
      </c>
      <c r="N36" s="281">
        <v>2.1405733333333337</v>
      </c>
      <c r="O36" s="281">
        <v>2.3433100000000002</v>
      </c>
      <c r="P36" s="281">
        <v>2.8102</v>
      </c>
      <c r="Q36" s="281">
        <v>2.9340071842775957</v>
      </c>
      <c r="R36" s="281">
        <v>2.8521000000000001</v>
      </c>
      <c r="S36" s="281">
        <v>2.5513333333333335</v>
      </c>
      <c r="T36" s="742">
        <v>1.6081666666666667</v>
      </c>
      <c r="U36" s="753">
        <v>1.6825333333333334</v>
      </c>
      <c r="V36" s="771">
        <v>2.0019</v>
      </c>
      <c r="W36" s="790">
        <v>2.0886333333333336</v>
      </c>
      <c r="X36" s="807">
        <v>1.9855999999999998</v>
      </c>
      <c r="Y36" s="836">
        <v>1.3269</v>
      </c>
      <c r="Z36" s="282">
        <v>2.6781000000000001</v>
      </c>
      <c r="AA36"/>
      <c r="AB36"/>
    </row>
    <row r="37" spans="2:28" ht="15" customHeight="1" x14ac:dyDescent="0.25">
      <c r="B37" s="555" t="s">
        <v>97</v>
      </c>
      <c r="C37" s="274">
        <v>0.83525806451612905</v>
      </c>
      <c r="D37" s="280">
        <v>0.96107096774193557</v>
      </c>
      <c r="E37" s="282">
        <v>0.61978461538461538</v>
      </c>
      <c r="F37" s="274">
        <v>0.62652903225806444</v>
      </c>
      <c r="G37" s="280">
        <v>0.85738709677419356</v>
      </c>
      <c r="H37" s="281">
        <v>0.97867741935483865</v>
      </c>
      <c r="I37" s="281">
        <v>1.2888999999999999</v>
      </c>
      <c r="J37" s="281">
        <v>1.7297225806451613</v>
      </c>
      <c r="K37" s="281">
        <v>1.8915225806451612</v>
      </c>
      <c r="L37" s="281">
        <v>2.4845935483870969</v>
      </c>
      <c r="M37" s="281">
        <v>1.2728354838709677</v>
      </c>
      <c r="N37" s="281">
        <v>2.0861324876169642</v>
      </c>
      <c r="O37" s="281">
        <v>2.4545354838709676</v>
      </c>
      <c r="P37" s="281">
        <v>2.6792333333333329</v>
      </c>
      <c r="Q37" s="281">
        <v>2.9155648220235739</v>
      </c>
      <c r="R37" s="281">
        <v>2.9911750000000001</v>
      </c>
      <c r="S37" s="281">
        <v>1.9605000000000001</v>
      </c>
      <c r="T37" s="742">
        <v>1.5135666666666667</v>
      </c>
      <c r="U37" s="753">
        <v>1.7258333333333333</v>
      </c>
      <c r="V37" s="771">
        <v>1.9682000000000002</v>
      </c>
      <c r="W37" s="790">
        <v>1.7914333333333332</v>
      </c>
      <c r="X37" s="807">
        <v>1.948966666666667</v>
      </c>
      <c r="Y37" s="836">
        <v>1.4965999999999999</v>
      </c>
      <c r="Z37" s="282">
        <v>2.4118333333333335</v>
      </c>
      <c r="AA37"/>
      <c r="AB37"/>
    </row>
    <row r="38" spans="2:28" ht="15" customHeight="1" thickBot="1" x14ac:dyDescent="0.3">
      <c r="B38" s="600"/>
      <c r="C38" s="288"/>
      <c r="D38" s="283"/>
      <c r="E38" s="291"/>
      <c r="F38" s="420"/>
      <c r="G38" s="421"/>
      <c r="H38" s="290"/>
      <c r="I38" s="328"/>
      <c r="J38" s="328"/>
      <c r="K38" s="328"/>
      <c r="L38" s="328"/>
      <c r="M38" s="328"/>
      <c r="N38" s="328"/>
      <c r="O38" s="328"/>
      <c r="P38" s="281"/>
      <c r="Q38" s="281"/>
      <c r="R38" s="281"/>
      <c r="S38" s="281"/>
      <c r="T38" s="742"/>
      <c r="U38" s="753"/>
      <c r="V38" s="771"/>
      <c r="W38" s="790"/>
      <c r="X38" s="807"/>
      <c r="Y38" s="836"/>
      <c r="Z38" s="282"/>
      <c r="AA38"/>
      <c r="AB38"/>
    </row>
    <row r="39" spans="2:28" ht="15" customHeight="1" thickBot="1" x14ac:dyDescent="0.3">
      <c r="B39" s="602" t="s">
        <v>99</v>
      </c>
      <c r="C39" s="488">
        <v>0.65681342465753423</v>
      </c>
      <c r="D39" s="489">
        <v>0.99109071038251362</v>
      </c>
      <c r="E39" s="490">
        <v>0.91468555555555564</v>
      </c>
      <c r="F39" s="312">
        <v>0.91153295774647891</v>
      </c>
      <c r="G39" s="431">
        <v>0.8651139726027397</v>
      </c>
      <c r="H39" s="451">
        <v>1.0200082191780822</v>
      </c>
      <c r="I39" s="451">
        <v>1.3284527322404371</v>
      </c>
      <c r="J39" s="451">
        <v>1.7786597260273975</v>
      </c>
      <c r="K39" s="451">
        <v>2.1680367123287669</v>
      </c>
      <c r="L39" s="451">
        <v>2.3139852054794519</v>
      </c>
      <c r="M39" s="451">
        <v>2.8168760676964597</v>
      </c>
      <c r="N39" s="451">
        <v>1.8140969473332635</v>
      </c>
      <c r="O39" s="451">
        <v>2.2714339726027397</v>
      </c>
      <c r="P39" s="451">
        <v>2.9333999999999998</v>
      </c>
      <c r="Q39" s="451">
        <v>3.3248000000000002</v>
      </c>
      <c r="R39" s="451">
        <v>3.2408000000000001</v>
      </c>
      <c r="S39" s="451">
        <v>3.0043000000000002</v>
      </c>
      <c r="T39" s="739">
        <v>2.0082</v>
      </c>
      <c r="U39" s="750">
        <v>1.6208</v>
      </c>
      <c r="V39" s="767">
        <v>1.8931</v>
      </c>
      <c r="W39" s="787">
        <v>2.2018</v>
      </c>
      <c r="X39" s="803">
        <v>2.0146999999999999</v>
      </c>
      <c r="Y39" s="832">
        <v>1.3975</v>
      </c>
      <c r="Z39" s="443">
        <v>2.2808000000000002</v>
      </c>
      <c r="AA39"/>
      <c r="AB39"/>
    </row>
    <row r="40" spans="2:28" ht="15" customHeight="1" thickBot="1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Z40"/>
      <c r="AA40"/>
      <c r="AB40"/>
    </row>
    <row r="41" spans="2:28" ht="15" customHeight="1" thickBot="1" x14ac:dyDescent="0.3">
      <c r="B41" s="916" t="s">
        <v>39</v>
      </c>
      <c r="C41" s="919" t="s">
        <v>123</v>
      </c>
      <c r="D41" s="920"/>
      <c r="E41" s="920"/>
      <c r="F41" s="920"/>
      <c r="G41" s="920"/>
      <c r="H41" s="920"/>
      <c r="I41" s="920"/>
      <c r="J41" s="920"/>
      <c r="K41" s="920"/>
      <c r="L41" s="920"/>
      <c r="M41" s="920"/>
      <c r="N41" s="920"/>
      <c r="O41" s="920"/>
      <c r="P41" s="920"/>
      <c r="Q41" s="920"/>
      <c r="R41" s="920"/>
      <c r="S41" s="920"/>
      <c r="T41" s="920"/>
      <c r="U41" s="920"/>
      <c r="V41" s="920"/>
      <c r="W41" s="920"/>
      <c r="X41" s="920"/>
      <c r="Y41" s="920"/>
      <c r="Z41" s="921"/>
      <c r="AA41"/>
      <c r="AB41"/>
    </row>
    <row r="42" spans="2:28" ht="15" customHeight="1" thickBot="1" x14ac:dyDescent="0.3">
      <c r="B42" s="937"/>
      <c r="C42" s="682">
        <v>1999</v>
      </c>
      <c r="D42" s="683">
        <v>2000</v>
      </c>
      <c r="E42" s="938">
        <v>2001</v>
      </c>
      <c r="F42" s="939"/>
      <c r="G42" s="684">
        <v>2002</v>
      </c>
      <c r="H42" s="684">
        <v>2003</v>
      </c>
      <c r="I42" s="684">
        <v>2004</v>
      </c>
      <c r="J42" s="684">
        <v>2005</v>
      </c>
      <c r="K42" s="684">
        <v>2006</v>
      </c>
      <c r="L42" s="684">
        <v>2007</v>
      </c>
      <c r="M42" s="683">
        <v>2008</v>
      </c>
      <c r="N42" s="684">
        <v>2009</v>
      </c>
      <c r="O42" s="684">
        <v>2010</v>
      </c>
      <c r="P42" s="684">
        <v>2011</v>
      </c>
      <c r="Q42" s="684">
        <v>2012</v>
      </c>
      <c r="R42" s="684">
        <v>2013</v>
      </c>
      <c r="S42" s="684">
        <v>2014</v>
      </c>
      <c r="T42" s="684">
        <v>2015</v>
      </c>
      <c r="U42" s="684">
        <v>2016</v>
      </c>
      <c r="V42" s="684">
        <v>2017</v>
      </c>
      <c r="W42" s="684">
        <v>2018</v>
      </c>
      <c r="X42" s="684">
        <v>2019</v>
      </c>
      <c r="Y42" s="684">
        <v>2020</v>
      </c>
      <c r="Z42" s="838">
        <v>2021</v>
      </c>
      <c r="AA42"/>
      <c r="AB42"/>
    </row>
    <row r="43" spans="2:28" ht="15" customHeight="1" x14ac:dyDescent="0.25">
      <c r="B43" s="599"/>
      <c r="C43" s="295"/>
      <c r="D43" s="296"/>
      <c r="E43" s="940"/>
      <c r="F43" s="941"/>
      <c r="G43" s="290"/>
      <c r="H43" s="299"/>
      <c r="I43" s="278"/>
      <c r="J43" s="278"/>
      <c r="K43" s="278"/>
      <c r="L43" s="278"/>
      <c r="M43" s="277"/>
      <c r="N43" s="278"/>
      <c r="O43" s="278"/>
      <c r="P43" s="278"/>
      <c r="Q43" s="278"/>
      <c r="R43" s="278"/>
      <c r="S43" s="278"/>
      <c r="T43" s="737"/>
      <c r="U43" s="752"/>
      <c r="V43" s="770"/>
      <c r="W43" s="789"/>
      <c r="X43" s="806"/>
      <c r="Y43" s="835"/>
      <c r="Z43" s="279"/>
      <c r="AA43"/>
      <c r="AB43"/>
    </row>
    <row r="44" spans="2:28" ht="15" customHeight="1" x14ac:dyDescent="0.25">
      <c r="B44" s="555" t="s">
        <v>144</v>
      </c>
      <c r="C44" s="274">
        <v>0.43154516129032255</v>
      </c>
      <c r="D44" s="280">
        <v>0.79395483870967742</v>
      </c>
      <c r="E44" s="935">
        <v>0.95875483870967737</v>
      </c>
      <c r="F44" s="936"/>
      <c r="G44" s="281">
        <v>0.64227419354838711</v>
      </c>
      <c r="H44" s="281">
        <v>0.95727741935483857</v>
      </c>
      <c r="I44" s="281">
        <v>1.0139870967741935</v>
      </c>
      <c r="J44" s="281">
        <v>1.3509516129032257</v>
      </c>
      <c r="K44" s="281">
        <v>1.8390612903225807</v>
      </c>
      <c r="L44" s="460">
        <v>1.6919741935483872</v>
      </c>
      <c r="M44" s="486">
        <v>2.6819419354838709</v>
      </c>
      <c r="N44" s="460">
        <v>1.4605290322580649</v>
      </c>
      <c r="O44" s="281">
        <v>2.1498838709677419</v>
      </c>
      <c r="P44" s="281">
        <v>2.65265</v>
      </c>
      <c r="Q44" s="281">
        <v>3.157683333333333</v>
      </c>
      <c r="R44" s="281">
        <v>3.165296182446768</v>
      </c>
      <c r="S44" s="281">
        <v>3.0619499999999999</v>
      </c>
      <c r="T44" s="742">
        <v>1.7569333333333332</v>
      </c>
      <c r="U44" s="753">
        <v>1.1734333333333333</v>
      </c>
      <c r="V44" s="771">
        <v>1.7809666666666668</v>
      </c>
      <c r="W44" s="790">
        <v>2.1294000000000004</v>
      </c>
      <c r="X44" s="807">
        <v>1.8937666666666668</v>
      </c>
      <c r="Y44" s="836">
        <v>2.0421666666666667</v>
      </c>
      <c r="Z44" s="282">
        <v>1.6440666666666666</v>
      </c>
      <c r="AA44"/>
      <c r="AB44"/>
    </row>
    <row r="45" spans="2:28" ht="15" customHeight="1" x14ac:dyDescent="0.25">
      <c r="B45" s="555" t="s">
        <v>87</v>
      </c>
      <c r="C45" s="274">
        <v>0.43200714285714292</v>
      </c>
      <c r="D45" s="280">
        <v>0.8878275862068965</v>
      </c>
      <c r="E45" s="935">
        <v>0.969225</v>
      </c>
      <c r="F45" s="936"/>
      <c r="G45" s="281">
        <v>0.62914999999999999</v>
      </c>
      <c r="H45" s="281">
        <v>1.0561607142857143</v>
      </c>
      <c r="I45" s="281">
        <v>1.0363206896551724</v>
      </c>
      <c r="J45" s="281">
        <v>1.3977642857142858</v>
      </c>
      <c r="K45" s="281">
        <v>1.8380214285714287</v>
      </c>
      <c r="L45" s="460">
        <v>1.6925249999999998</v>
      </c>
      <c r="M45" s="486">
        <v>2.6216310344827587</v>
      </c>
      <c r="N45" s="460">
        <v>1.4385571428571429</v>
      </c>
      <c r="O45" s="281">
        <v>2.0433642857142855</v>
      </c>
      <c r="P45" s="281">
        <v>2.79555</v>
      </c>
      <c r="Q45" s="281">
        <v>3.2773666666666665</v>
      </c>
      <c r="R45" s="281">
        <v>3.297087768368002</v>
      </c>
      <c r="S45" s="281">
        <v>3.0672999999999999</v>
      </c>
      <c r="T45" s="742">
        <v>1.7667666666666666</v>
      </c>
      <c r="U45" s="753">
        <v>1.1082333333333334</v>
      </c>
      <c r="V45" s="771">
        <v>1.7537500000000001</v>
      </c>
      <c r="W45" s="790">
        <v>2.1371500000000001</v>
      </c>
      <c r="X45" s="807">
        <v>2.0394999999999999</v>
      </c>
      <c r="Y45" s="836">
        <v>1.8080666666666667</v>
      </c>
      <c r="Z45" s="282">
        <v>1.8018333333333334</v>
      </c>
      <c r="AA45"/>
      <c r="AB45"/>
    </row>
    <row r="46" spans="2:28" ht="15" customHeight="1" x14ac:dyDescent="0.25">
      <c r="B46" s="555" t="s">
        <v>88</v>
      </c>
      <c r="C46" s="274">
        <v>0.43139677419354838</v>
      </c>
      <c r="D46" s="280">
        <v>0.87636451612903232</v>
      </c>
      <c r="E46" s="935">
        <v>0.8585838709677418</v>
      </c>
      <c r="F46" s="936"/>
      <c r="G46" s="281">
        <v>0.67245483870967737</v>
      </c>
      <c r="H46" s="281">
        <v>1.1502225806451611</v>
      </c>
      <c r="I46" s="281">
        <v>1.0119193548387098</v>
      </c>
      <c r="J46" s="281">
        <v>1.5507967741935482</v>
      </c>
      <c r="K46" s="281">
        <v>1.8291290322580647</v>
      </c>
      <c r="L46" s="460">
        <v>1.8113129032258064</v>
      </c>
      <c r="M46" s="486">
        <v>2.9678612903225803</v>
      </c>
      <c r="N46" s="460">
        <v>1.292167741935484</v>
      </c>
      <c r="O46" s="281">
        <v>2.1275387096774194</v>
      </c>
      <c r="P46" s="281">
        <v>3.1073500000000003</v>
      </c>
      <c r="Q46" s="281">
        <v>3.3483499999999999</v>
      </c>
      <c r="R46" s="281">
        <v>3.2867533326410645</v>
      </c>
      <c r="S46" s="281">
        <v>3.1017999999999994</v>
      </c>
      <c r="T46" s="742">
        <v>1.9360333333333333</v>
      </c>
      <c r="U46" s="753">
        <v>1.2451333333333334</v>
      </c>
      <c r="V46" s="771">
        <v>1.7062333333333335</v>
      </c>
      <c r="W46" s="790">
        <v>2.0502666666666665</v>
      </c>
      <c r="X46" s="807">
        <v>2.1137000000000001</v>
      </c>
      <c r="Y46" s="836">
        <v>1.5155666666666667</v>
      </c>
      <c r="Z46" s="282">
        <v>1.9834666666666667</v>
      </c>
      <c r="AA46"/>
      <c r="AB46"/>
    </row>
    <row r="47" spans="2:28" ht="15" customHeight="1" x14ac:dyDescent="0.25">
      <c r="B47" s="555" t="s">
        <v>145</v>
      </c>
      <c r="C47" s="274">
        <v>0.51151666666666662</v>
      </c>
      <c r="D47" s="280">
        <v>0.81122666666666654</v>
      </c>
      <c r="E47" s="935">
        <v>0.84158666666666671</v>
      </c>
      <c r="F47" s="936"/>
      <c r="G47" s="281">
        <v>0.75922000000000012</v>
      </c>
      <c r="H47" s="281">
        <v>0.86258000000000001</v>
      </c>
      <c r="I47" s="281">
        <v>0.98920666666666657</v>
      </c>
      <c r="J47" s="281">
        <v>1.67147</v>
      </c>
      <c r="K47" s="281">
        <v>1.9778533333333332</v>
      </c>
      <c r="L47" s="460">
        <v>1.9188933333333333</v>
      </c>
      <c r="M47" s="486">
        <v>3.1486799999999997</v>
      </c>
      <c r="N47" s="460">
        <v>1.4261266666666665</v>
      </c>
      <c r="O47" s="281">
        <v>2.2424333333333331</v>
      </c>
      <c r="P47" s="281">
        <v>3.2709999999999999</v>
      </c>
      <c r="Q47" s="281">
        <v>3.3436000000000003</v>
      </c>
      <c r="R47" s="281">
        <v>3.1397207381932866</v>
      </c>
      <c r="S47" s="281">
        <v>3.0233999999999996</v>
      </c>
      <c r="T47" s="742">
        <v>1.8801999999999999</v>
      </c>
      <c r="U47" s="753">
        <v>1.3058333333333334</v>
      </c>
      <c r="V47" s="771">
        <v>1.7152333333333332</v>
      </c>
      <c r="W47" s="790">
        <v>2.1444666666666667</v>
      </c>
      <c r="X47" s="807">
        <v>2.1417000000000002</v>
      </c>
      <c r="Y47" s="836">
        <v>1.073725</v>
      </c>
      <c r="Z47" s="282">
        <v>1.9596</v>
      </c>
      <c r="AA47"/>
      <c r="AB47"/>
    </row>
    <row r="48" spans="2:28" ht="15" customHeight="1" x14ac:dyDescent="0.25">
      <c r="B48" s="555" t="s">
        <v>90</v>
      </c>
      <c r="C48" s="274">
        <v>0.53358064516129022</v>
      </c>
      <c r="D48" s="280">
        <v>0.84408064516129033</v>
      </c>
      <c r="E48" s="935">
        <v>0.87221290322580647</v>
      </c>
      <c r="F48" s="936"/>
      <c r="G48" s="281">
        <v>0.76755806451612907</v>
      </c>
      <c r="H48" s="281">
        <v>0.8082967741935484</v>
      </c>
      <c r="I48" s="281">
        <v>1.0429387096774194</v>
      </c>
      <c r="J48" s="281">
        <v>1.5473483870967741</v>
      </c>
      <c r="K48" s="281">
        <v>2.1341225806451609</v>
      </c>
      <c r="L48" s="460">
        <v>1.9834225806451615</v>
      </c>
      <c r="M48" s="486">
        <v>3.5030516129032252</v>
      </c>
      <c r="N48" s="460">
        <v>1.4689258064516129</v>
      </c>
      <c r="O48" s="281">
        <v>2.2628096774193551</v>
      </c>
      <c r="P48" s="281">
        <v>3.1912500000000001</v>
      </c>
      <c r="Q48" s="281">
        <v>3.1499166666666669</v>
      </c>
      <c r="R48" s="281">
        <v>2.9864585822492873</v>
      </c>
      <c r="S48" s="281">
        <v>3.0657999999999999</v>
      </c>
      <c r="T48" s="742">
        <v>2.0420333333333334</v>
      </c>
      <c r="U48" s="753">
        <v>1.4946249999999999</v>
      </c>
      <c r="V48" s="771">
        <v>1.6713333333333331</v>
      </c>
      <c r="W48" s="790">
        <v>2.2955999999999999</v>
      </c>
      <c r="X48" s="807">
        <v>2.1885666666666665</v>
      </c>
      <c r="Y48" s="836">
        <v>0.9431666666666666</v>
      </c>
      <c r="Z48" s="282">
        <v>2.0464333333333333</v>
      </c>
      <c r="AA48"/>
      <c r="AB48"/>
    </row>
    <row r="49" spans="2:28" ht="15" customHeight="1" x14ac:dyDescent="0.25">
      <c r="B49" s="555" t="s">
        <v>91</v>
      </c>
      <c r="C49" s="274">
        <v>0.50196666666666667</v>
      </c>
      <c r="D49" s="280">
        <v>0.87580666666666673</v>
      </c>
      <c r="E49" s="935">
        <v>0.88257666666666668</v>
      </c>
      <c r="F49" s="936"/>
      <c r="G49" s="281">
        <v>0.76835999999999993</v>
      </c>
      <c r="H49" s="281">
        <v>0.82605999999999991</v>
      </c>
      <c r="I49" s="281">
        <v>1.1036000000000001</v>
      </c>
      <c r="J49" s="281">
        <v>1.5923866666666666</v>
      </c>
      <c r="K49" s="281">
        <v>2.0607066666666665</v>
      </c>
      <c r="L49" s="460">
        <v>2.0891966666666666</v>
      </c>
      <c r="M49" s="486">
        <v>3.922686666666666</v>
      </c>
      <c r="N49" s="460">
        <v>1.7425604738643834</v>
      </c>
      <c r="O49" s="281">
        <v>2.0533933333333336</v>
      </c>
      <c r="P49" s="281">
        <v>3.1098499999999998</v>
      </c>
      <c r="Q49" s="281">
        <v>2.8571333333333335</v>
      </c>
      <c r="R49" s="281">
        <v>2.9678333333333335</v>
      </c>
      <c r="S49" s="281">
        <v>3.0451333333333337</v>
      </c>
      <c r="T49" s="742">
        <v>1.9937666666666667</v>
      </c>
      <c r="U49" s="753">
        <v>1.5841333333333332</v>
      </c>
      <c r="V49" s="771">
        <v>1.6177999999999999</v>
      </c>
      <c r="W49" s="790">
        <v>2.3287666666666667</v>
      </c>
      <c r="X49" s="807">
        <v>2.0494000000000003</v>
      </c>
      <c r="Y49" s="836">
        <v>1.0980666666666667</v>
      </c>
      <c r="Z49" s="282">
        <v>2.1730333333333332</v>
      </c>
      <c r="AA49"/>
      <c r="AB49"/>
    </row>
    <row r="50" spans="2:28" ht="15" customHeight="1" x14ac:dyDescent="0.25">
      <c r="B50" s="555" t="s">
        <v>93</v>
      </c>
      <c r="C50" s="274">
        <v>0.56369354838709684</v>
      </c>
      <c r="D50" s="280">
        <v>0.91174838709677419</v>
      </c>
      <c r="E50" s="935">
        <v>0.84095806451612898</v>
      </c>
      <c r="F50" s="936"/>
      <c r="G50" s="281">
        <v>0.7696064516129032</v>
      </c>
      <c r="H50" s="281">
        <v>0.84298709677419359</v>
      </c>
      <c r="I50" s="281">
        <v>1.1268290322580645</v>
      </c>
      <c r="J50" s="281">
        <v>1.7657935483870968</v>
      </c>
      <c r="K50" s="281">
        <v>2.0518741935483873</v>
      </c>
      <c r="L50" s="460">
        <v>2.1551612903225807</v>
      </c>
      <c r="M50" s="486">
        <v>4.0315999999999992</v>
      </c>
      <c r="N50" s="460">
        <v>1.7485451965655869</v>
      </c>
      <c r="O50" s="281">
        <v>2.1086580645161295</v>
      </c>
      <c r="P50" s="281">
        <v>3.0477499999999997</v>
      </c>
      <c r="Q50" s="281">
        <v>2.8700666666666663</v>
      </c>
      <c r="R50" s="281">
        <v>3.0335333333333332</v>
      </c>
      <c r="S50" s="281">
        <v>3.0434999999999999</v>
      </c>
      <c r="T50" s="742">
        <v>1.8793333333333333</v>
      </c>
      <c r="U50" s="753">
        <v>1.517075</v>
      </c>
      <c r="V50" s="771">
        <v>1.5634666666666668</v>
      </c>
      <c r="W50" s="790">
        <v>2.2630333333333335</v>
      </c>
      <c r="X50" s="807">
        <v>2.0028666666666664</v>
      </c>
      <c r="Y50" s="836">
        <v>1.3391666666666666</v>
      </c>
      <c r="Z50" s="282">
        <v>2.2244333333333333</v>
      </c>
      <c r="AA50"/>
      <c r="AB50"/>
    </row>
    <row r="51" spans="2:28" ht="15" customHeight="1" x14ac:dyDescent="0.25">
      <c r="B51" s="555" t="s">
        <v>94</v>
      </c>
      <c r="C51" s="274">
        <v>0.62197741935483863</v>
      </c>
      <c r="D51" s="280">
        <v>0.9114451612903226</v>
      </c>
      <c r="E51" s="935">
        <v>0.82133225806451604</v>
      </c>
      <c r="F51" s="936"/>
      <c r="G51" s="281">
        <v>0.77746451612903222</v>
      </c>
      <c r="H51" s="281">
        <v>0.88352580645161294</v>
      </c>
      <c r="I51" s="281">
        <v>1.2276129032258063</v>
      </c>
      <c r="J51" s="281">
        <v>1.7957290322580646</v>
      </c>
      <c r="K51" s="281">
        <v>2.1299580645161291</v>
      </c>
      <c r="L51" s="460">
        <v>2.1247225806451611</v>
      </c>
      <c r="M51" s="486">
        <v>3.5608023855823498</v>
      </c>
      <c r="N51" s="460">
        <v>1.8791548387096773</v>
      </c>
      <c r="O51" s="281">
        <v>2.1348903225806453</v>
      </c>
      <c r="P51" s="281">
        <v>3.1020000000000003</v>
      </c>
      <c r="Q51" s="281">
        <v>3.0816248170582217</v>
      </c>
      <c r="R51" s="281">
        <v>3.1178935046543459</v>
      </c>
      <c r="S51" s="281">
        <v>2.9850666666666665</v>
      </c>
      <c r="T51" s="742">
        <v>1.7060999999999999</v>
      </c>
      <c r="U51" s="753">
        <v>1.4453333333333334</v>
      </c>
      <c r="V51" s="771">
        <v>1.7394999999999998</v>
      </c>
      <c r="W51" s="790">
        <v>2.2579750000000001</v>
      </c>
      <c r="X51" s="807">
        <v>1.9722333333333335</v>
      </c>
      <c r="Y51" s="836">
        <v>1.3716333333333335</v>
      </c>
      <c r="Z51" s="282">
        <v>2.1883333333333335</v>
      </c>
      <c r="AA51"/>
      <c r="AB51"/>
    </row>
    <row r="52" spans="2:28" ht="15" customHeight="1" x14ac:dyDescent="0.25">
      <c r="B52" s="555" t="s">
        <v>101</v>
      </c>
      <c r="C52" s="274">
        <v>0.67061333333333339</v>
      </c>
      <c r="D52" s="280">
        <v>1.0730666666666666</v>
      </c>
      <c r="E52" s="935">
        <v>0.87235333333333331</v>
      </c>
      <c r="F52" s="936"/>
      <c r="G52" s="281">
        <v>0.83943333333333336</v>
      </c>
      <c r="H52" s="281">
        <v>0.86516999999999988</v>
      </c>
      <c r="I52" s="281">
        <v>1.2631000000000001</v>
      </c>
      <c r="J52" s="281">
        <v>2.0081899999999999</v>
      </c>
      <c r="K52" s="281">
        <v>2.0145266666666668</v>
      </c>
      <c r="L52" s="460">
        <v>2.1512900000000004</v>
      </c>
      <c r="M52" s="486">
        <v>3.1955917722831808</v>
      </c>
      <c r="N52" s="460">
        <v>1.8826266666666664</v>
      </c>
      <c r="O52" s="281">
        <v>2.1229999999999998</v>
      </c>
      <c r="P52" s="281">
        <v>3.0638666666666672</v>
      </c>
      <c r="Q52" s="281">
        <v>3.287426805774321</v>
      </c>
      <c r="R52" s="281">
        <v>3.1785999999999999</v>
      </c>
      <c r="S52" s="281">
        <v>2.9460000000000002</v>
      </c>
      <c r="T52" s="742">
        <v>1.6068</v>
      </c>
      <c r="U52" s="753">
        <v>1.5479333333333332</v>
      </c>
      <c r="V52" s="771">
        <v>1.8681000000000001</v>
      </c>
      <c r="W52" s="790">
        <v>2.3282333333333334</v>
      </c>
      <c r="X52" s="807">
        <v>2.0134666666666665</v>
      </c>
      <c r="Y52" s="836">
        <v>1.3027</v>
      </c>
      <c r="Z52" s="282">
        <v>2.2192000000000003</v>
      </c>
      <c r="AA52"/>
      <c r="AB52"/>
    </row>
    <row r="53" spans="2:28" ht="15" customHeight="1" x14ac:dyDescent="0.25">
      <c r="B53" s="555" t="s">
        <v>95</v>
      </c>
      <c r="C53" s="274">
        <v>0.69687096774193558</v>
      </c>
      <c r="D53" s="280">
        <v>1.0705516129032258</v>
      </c>
      <c r="E53" s="935">
        <v>0.77953870967741934</v>
      </c>
      <c r="F53" s="936"/>
      <c r="G53" s="281">
        <v>0.89485161290322568</v>
      </c>
      <c r="H53" s="281">
        <v>0.85765806451612914</v>
      </c>
      <c r="I53" s="281">
        <v>1.4869870967741934</v>
      </c>
      <c r="J53" s="281">
        <v>2.2805483870967742</v>
      </c>
      <c r="K53" s="281">
        <v>1.7830129032258069</v>
      </c>
      <c r="L53" s="460">
        <v>2.3060096774193548</v>
      </c>
      <c r="M53" s="486">
        <v>2.766161290322581</v>
      </c>
      <c r="N53" s="460">
        <v>1.8903419354838709</v>
      </c>
      <c r="O53" s="281">
        <v>2.2701387096774197</v>
      </c>
      <c r="P53" s="281">
        <v>3.0023666666666666</v>
      </c>
      <c r="Q53" s="281">
        <v>3.3127946031928541</v>
      </c>
      <c r="R53" s="281">
        <v>3.1070910235561615</v>
      </c>
      <c r="S53" s="281">
        <v>2.7456999999999998</v>
      </c>
      <c r="T53" s="742">
        <v>1.5645</v>
      </c>
      <c r="U53" s="753">
        <v>1.6191666666666666</v>
      </c>
      <c r="V53" s="771">
        <v>1.9078666666666668</v>
      </c>
      <c r="W53" s="790">
        <v>2.4300333333333337</v>
      </c>
      <c r="X53" s="807">
        <v>2.0619000000000001</v>
      </c>
      <c r="Y53" s="836">
        <v>1.2491333333333332</v>
      </c>
      <c r="Z53" s="282">
        <v>2.4386666666666668</v>
      </c>
      <c r="AA53"/>
      <c r="AB53"/>
    </row>
    <row r="54" spans="2:28" ht="15" customHeight="1" x14ac:dyDescent="0.25">
      <c r="B54" s="555" t="s">
        <v>96</v>
      </c>
      <c r="C54" s="274">
        <v>0.70312666666666668</v>
      </c>
      <c r="D54" s="280">
        <v>1.0628666666666666</v>
      </c>
      <c r="E54" s="935">
        <v>0.69942666666666653</v>
      </c>
      <c r="F54" s="936"/>
      <c r="G54" s="281">
        <v>0.85560666666666663</v>
      </c>
      <c r="H54" s="281">
        <v>0.89752666666666658</v>
      </c>
      <c r="I54" s="281">
        <v>1.5335266666666667</v>
      </c>
      <c r="J54" s="281">
        <v>1.9465600000000001</v>
      </c>
      <c r="K54" s="281">
        <v>1.7571866666666665</v>
      </c>
      <c r="L54" s="460">
        <v>2.5666199999999999</v>
      </c>
      <c r="M54" s="486">
        <v>2.0689933333333332</v>
      </c>
      <c r="N54" s="460">
        <v>2.0776066666666666</v>
      </c>
      <c r="O54" s="281">
        <v>2.3767066666666667</v>
      </c>
      <c r="P54" s="281">
        <v>3.1790000000000003</v>
      </c>
      <c r="Q54" s="281">
        <v>3.1542273143802753</v>
      </c>
      <c r="R54" s="281">
        <v>3.0256546980748822</v>
      </c>
      <c r="S54" s="281">
        <v>2.5268333333333328</v>
      </c>
      <c r="T54" s="742">
        <v>1.5249666666666666</v>
      </c>
      <c r="U54" s="753">
        <v>1.6029666666666664</v>
      </c>
      <c r="V54" s="771">
        <v>1.9680333333333333</v>
      </c>
      <c r="W54" s="790">
        <v>2.3295333333333335</v>
      </c>
      <c r="X54" s="807">
        <v>2.0270333333333332</v>
      </c>
      <c r="Y54" s="836">
        <v>1.2832999999999999</v>
      </c>
      <c r="Z54" s="282">
        <v>2.5986666666666665</v>
      </c>
      <c r="AA54"/>
      <c r="AB54"/>
    </row>
    <row r="55" spans="2:28" ht="15" customHeight="1" x14ac:dyDescent="0.25">
      <c r="B55" s="555" t="s">
        <v>97</v>
      </c>
      <c r="C55" s="274">
        <v>0.76732258064516123</v>
      </c>
      <c r="D55" s="280">
        <v>1.0734096774193549</v>
      </c>
      <c r="E55" s="935">
        <v>0.6210290322580645</v>
      </c>
      <c r="F55" s="936"/>
      <c r="G55" s="281">
        <v>0.857916129032258</v>
      </c>
      <c r="H55" s="281">
        <v>0.94485161290322572</v>
      </c>
      <c r="I55" s="281">
        <v>1.3875580645161292</v>
      </c>
      <c r="J55" s="281">
        <v>1.7659967741935483</v>
      </c>
      <c r="K55" s="281">
        <v>1.7942000000000002</v>
      </c>
      <c r="L55" s="460">
        <v>2.6707161290322579</v>
      </c>
      <c r="M55" s="486">
        <v>1.6252451612903227</v>
      </c>
      <c r="N55" s="460">
        <v>2.0442849917911383</v>
      </c>
      <c r="O55" s="281">
        <v>2.4472870967741933</v>
      </c>
      <c r="P55" s="281">
        <v>3.0256000000000003</v>
      </c>
      <c r="Q55" s="281">
        <v>3.1190923443492076</v>
      </c>
      <c r="R55" s="281">
        <v>3.0835999999999997</v>
      </c>
      <c r="S55" s="281">
        <v>2.0510000000000002</v>
      </c>
      <c r="T55" s="742">
        <v>1.3465666666666667</v>
      </c>
      <c r="U55" s="753">
        <v>1.6483999999999999</v>
      </c>
      <c r="V55" s="771">
        <v>2.0132333333333334</v>
      </c>
      <c r="W55" s="790">
        <v>2.0280333333333331</v>
      </c>
      <c r="X55" s="807">
        <v>2.0199666666666669</v>
      </c>
      <c r="Y55" s="836">
        <v>1.5221333333333333</v>
      </c>
      <c r="Z55" s="282">
        <v>2.3620999999999999</v>
      </c>
      <c r="AA55"/>
      <c r="AB55"/>
    </row>
    <row r="56" spans="2:28" ht="15" customHeight="1" thickBot="1" x14ac:dyDescent="0.3">
      <c r="B56" s="600"/>
      <c r="C56" s="275"/>
      <c r="D56" s="284"/>
      <c r="E56" s="944"/>
      <c r="F56" s="945"/>
      <c r="G56" s="289"/>
      <c r="H56" s="289"/>
      <c r="I56" s="289"/>
      <c r="J56" s="289"/>
      <c r="K56" s="289"/>
      <c r="L56" s="289"/>
      <c r="M56" s="283"/>
      <c r="N56" s="289"/>
      <c r="O56" s="289"/>
      <c r="P56" s="281"/>
      <c r="Q56" s="281"/>
      <c r="R56" s="281"/>
      <c r="S56" s="281"/>
      <c r="T56" s="742"/>
      <c r="U56" s="753"/>
      <c r="V56" s="771"/>
      <c r="W56" s="790"/>
      <c r="X56" s="807"/>
      <c r="Y56" s="836"/>
      <c r="Z56" s="282"/>
      <c r="AA56"/>
      <c r="AB56"/>
    </row>
    <row r="57" spans="2:28" ht="15" customHeight="1" thickBot="1" x14ac:dyDescent="0.3">
      <c r="B57" s="601" t="s">
        <v>99</v>
      </c>
      <c r="C57" s="312">
        <v>0.57301616438356162</v>
      </c>
      <c r="D57" s="431">
        <v>0.93268907103825127</v>
      </c>
      <c r="E57" s="942">
        <v>0.83381178082191776</v>
      </c>
      <c r="F57" s="943"/>
      <c r="G57" s="451">
        <v>0.770248493150685</v>
      </c>
      <c r="H57" s="451">
        <v>0.91206027397260281</v>
      </c>
      <c r="I57" s="451">
        <v>1.1857079234972676</v>
      </c>
      <c r="J57" s="451">
        <v>1.7245690410958903</v>
      </c>
      <c r="K57" s="451">
        <v>1.9347257534246576</v>
      </c>
      <c r="L57" s="451">
        <v>2.0992153424657536</v>
      </c>
      <c r="M57" s="431">
        <v>3.0091323145397491</v>
      </c>
      <c r="N57" s="451">
        <v>1.6971223289177806</v>
      </c>
      <c r="O57" s="451">
        <v>2.1962126027397262</v>
      </c>
      <c r="P57" s="451">
        <v>3.0457000000000001</v>
      </c>
      <c r="Q57" s="451">
        <v>3.1633</v>
      </c>
      <c r="R57" s="451">
        <v>3.1158000000000001</v>
      </c>
      <c r="S57" s="451">
        <v>2.8885999999999998</v>
      </c>
      <c r="T57" s="739">
        <v>1.7503</v>
      </c>
      <c r="U57" s="750">
        <v>1.4410000000000001</v>
      </c>
      <c r="V57" s="767">
        <v>1.7755000000000001</v>
      </c>
      <c r="W57" s="787">
        <v>2.2269000000000001</v>
      </c>
      <c r="X57" s="803">
        <v>2.0436999999999999</v>
      </c>
      <c r="Y57" s="832">
        <v>1.3791</v>
      </c>
      <c r="Z57" s="443">
        <v>2.1366999999999998</v>
      </c>
      <c r="AA57"/>
      <c r="AB57"/>
    </row>
    <row r="58" spans="2:28" ht="15" customHeight="1" x14ac:dyDescent="0.25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28" s="14" customFormat="1" ht="15" customHeight="1" x14ac:dyDescent="0.25">
      <c r="B59" s="2" t="s">
        <v>219</v>
      </c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/>
    </row>
    <row r="60" spans="2:28" ht="15" customHeight="1" x14ac:dyDescent="0.25">
      <c r="I60" s="313"/>
      <c r="J60" s="313"/>
    </row>
    <row r="61" spans="2:28" ht="15" customHeight="1" x14ac:dyDescent="0.25">
      <c r="I61" s="313"/>
      <c r="J61" s="313"/>
    </row>
    <row r="63" spans="2:28" ht="15" customHeight="1" x14ac:dyDescent="0.25">
      <c r="K63" s="90"/>
    </row>
  </sheetData>
  <mergeCells count="28">
    <mergeCell ref="F5:Z5"/>
    <mergeCell ref="B1:Z1"/>
    <mergeCell ref="B2:Z2"/>
    <mergeCell ref="B3:Z3"/>
    <mergeCell ref="B4:Z4"/>
    <mergeCell ref="E57:F57"/>
    <mergeCell ref="E51:F51"/>
    <mergeCell ref="E52:F52"/>
    <mergeCell ref="E53:F53"/>
    <mergeCell ref="E54:F54"/>
    <mergeCell ref="E55:F55"/>
    <mergeCell ref="E56:F56"/>
    <mergeCell ref="E50:F50"/>
    <mergeCell ref="E49:F49"/>
    <mergeCell ref="B5:B6"/>
    <mergeCell ref="C5:E5"/>
    <mergeCell ref="B41:B42"/>
    <mergeCell ref="B23:B24"/>
    <mergeCell ref="C23:E23"/>
    <mergeCell ref="E48:F48"/>
    <mergeCell ref="E42:F42"/>
    <mergeCell ref="E44:F44"/>
    <mergeCell ref="E47:F47"/>
    <mergeCell ref="E45:F45"/>
    <mergeCell ref="E46:F46"/>
    <mergeCell ref="E43:F43"/>
    <mergeCell ref="F23:Z23"/>
    <mergeCell ref="C41:Z41"/>
  </mergeCells>
  <phoneticPr fontId="0" type="noConversion"/>
  <printOptions horizontalCentered="1"/>
  <pageMargins left="0.78740157480314965" right="0.39370078740157483" top="0.39370078740157483" bottom="0.78740157480314965" header="0" footer="0"/>
  <pageSetup scale="5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AK63"/>
  <sheetViews>
    <sheetView topLeftCell="K1" workbookViewId="0">
      <selection activeCell="AA49" sqref="AA49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0.6640625" style="47" customWidth="1"/>
    <col min="3" max="16" width="12.6640625" style="13" customWidth="1"/>
    <col min="17" max="16384" width="11.44140625" style="13"/>
  </cols>
  <sheetData>
    <row r="1" spans="2:37" ht="15" customHeight="1" x14ac:dyDescent="0.25">
      <c r="B1" s="864" t="s">
        <v>200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</row>
    <row r="2" spans="2:37" ht="15" customHeight="1" x14ac:dyDescent="0.25">
      <c r="B2" s="864" t="s">
        <v>37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</row>
    <row r="3" spans="2:37" ht="15" customHeight="1" x14ac:dyDescent="0.25">
      <c r="B3" s="864" t="s">
        <v>307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</row>
    <row r="4" spans="2:37" ht="15" customHeight="1" thickBot="1" x14ac:dyDescent="0.3">
      <c r="B4" s="929" t="s">
        <v>199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</row>
    <row r="5" spans="2:37" ht="15" customHeight="1" thickBot="1" x14ac:dyDescent="0.3">
      <c r="B5" s="916" t="s">
        <v>39</v>
      </c>
      <c r="C5" s="853" t="s">
        <v>196</v>
      </c>
      <c r="D5" s="854"/>
      <c r="E5" s="855"/>
      <c r="F5" s="919" t="s">
        <v>195</v>
      </c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920"/>
      <c r="Z5" s="921"/>
    </row>
    <row r="6" spans="2:37" ht="15" customHeight="1" thickBot="1" x14ac:dyDescent="0.3">
      <c r="B6" s="937"/>
      <c r="C6" s="603">
        <v>1999</v>
      </c>
      <c r="D6" s="588">
        <v>2000</v>
      </c>
      <c r="E6" s="552">
        <v>2001</v>
      </c>
      <c r="F6" s="682">
        <v>2001</v>
      </c>
      <c r="G6" s="683">
        <v>2002</v>
      </c>
      <c r="H6" s="684">
        <v>2003</v>
      </c>
      <c r="I6" s="684">
        <v>2004</v>
      </c>
      <c r="J6" s="684">
        <v>2005</v>
      </c>
      <c r="K6" s="684">
        <v>2006</v>
      </c>
      <c r="L6" s="684">
        <v>2007</v>
      </c>
      <c r="M6" s="684">
        <v>2008</v>
      </c>
      <c r="N6" s="684">
        <v>2009</v>
      </c>
      <c r="O6" s="684">
        <v>2010</v>
      </c>
      <c r="P6" s="684">
        <v>2011</v>
      </c>
      <c r="Q6" s="684">
        <v>2012</v>
      </c>
      <c r="R6" s="684">
        <v>2013</v>
      </c>
      <c r="S6" s="684">
        <v>2014</v>
      </c>
      <c r="T6" s="684">
        <v>2015</v>
      </c>
      <c r="U6" s="684">
        <v>2016</v>
      </c>
      <c r="V6" s="684">
        <v>2017</v>
      </c>
      <c r="W6" s="684">
        <v>2018</v>
      </c>
      <c r="X6" s="684">
        <v>2019</v>
      </c>
      <c r="Y6" s="684">
        <v>2020</v>
      </c>
      <c r="Z6" s="838">
        <v>2021</v>
      </c>
    </row>
    <row r="7" spans="2:37" ht="15" customHeight="1" x14ac:dyDescent="0.25">
      <c r="B7" s="599"/>
      <c r="C7" s="295"/>
      <c r="D7" s="296"/>
      <c r="E7" s="419"/>
      <c r="F7" s="273"/>
      <c r="G7" s="277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737"/>
      <c r="U7" s="752"/>
      <c r="V7" s="770"/>
      <c r="W7" s="789"/>
      <c r="X7" s="806"/>
      <c r="Y7" s="835"/>
      <c r="Z7" s="279"/>
    </row>
    <row r="8" spans="2:37" ht="15" customHeight="1" x14ac:dyDescent="0.25">
      <c r="B8" s="555" t="s">
        <v>144</v>
      </c>
      <c r="C8" s="274">
        <f>'C-SH-8A ComPrParGas&amp;DLiv,99-21'!C8*42</f>
        <v>18.010412903225806</v>
      </c>
      <c r="D8" s="280">
        <f>'C-SH-8A ComPrParGas&amp;DLiv,99-21'!D8*42</f>
        <v>33.138541935483872</v>
      </c>
      <c r="E8" s="282">
        <f>'C-SH-8A ComPrParGas&amp;DLiv,99-21'!E8*42</f>
        <v>39.508587096774193</v>
      </c>
      <c r="F8" s="423"/>
      <c r="G8" s="280">
        <f>'C-SH-8A ComPrParGas&amp;DLiv,99-21'!G8*42</f>
        <v>27.954658064516131</v>
      </c>
      <c r="H8" s="281">
        <f>'C-SH-8A ComPrParGas&amp;DLiv,99-21'!H8*42</f>
        <v>40.71181935483871</v>
      </c>
      <c r="I8" s="281">
        <f>'C-SH-8A ComPrParGas&amp;DLiv,99-21'!I8*42</f>
        <v>44.716316129032251</v>
      </c>
      <c r="J8" s="281">
        <f>'C-SH-8A ComPrParGas&amp;DLiv,99-21'!J8*42</f>
        <v>53.754309677419357</v>
      </c>
      <c r="K8" s="281">
        <f>'C-SH-8A ComPrParGas&amp;DLiv,99-21'!K8*42</f>
        <v>75.657445161290326</v>
      </c>
      <c r="L8" s="281">
        <f>'C-SH-8A ComPrParGas&amp;DLiv,99-21'!L8*42</f>
        <v>69.274393548387096</v>
      </c>
      <c r="M8" s="281">
        <f>'C-SH-8A ComPrParGas&amp;DLiv,99-21'!M8*42</f>
        <v>104.75247096774193</v>
      </c>
      <c r="N8" s="281">
        <f>'C-SH-8A ComPrParGas&amp;DLiv,99-21'!N8*42</f>
        <v>47.568387096774195</v>
      </c>
      <c r="O8" s="281">
        <f>+'C-SH-8A ComPrParGas&amp;DLiv,99-21'!O8*42</f>
        <v>89.409735483870975</v>
      </c>
      <c r="P8" s="281">
        <f>+'C-SH-8A ComPrParGas&amp;DLiv,99-21'!P8*42</f>
        <v>110.19539999999999</v>
      </c>
      <c r="Q8" s="281">
        <f>+'C-SH-8A ComPrParGas&amp;DLiv,99-21'!Q8*42</f>
        <v>123.7824</v>
      </c>
      <c r="R8" s="281">
        <f>+'C-SH-8A ComPrParGas&amp;DLiv,99-21'!R8*42</f>
        <v>119.02869264460902</v>
      </c>
      <c r="S8" s="281">
        <f>+'C-SH-8A ComPrParGas&amp;DLiv,99-21'!S8*42</f>
        <v>115.9242</v>
      </c>
      <c r="T8" s="742">
        <f>+'C-SH-8A ComPrParGas&amp;DLiv,99-21'!T8*42</f>
        <v>62.479199999999992</v>
      </c>
      <c r="U8" s="753">
        <f>+'C-SH-8A ComPrParGas&amp;DLiv,99-21'!U8*42</f>
        <v>55.101200000000006</v>
      </c>
      <c r="V8" s="771">
        <f>+'C-SH-8A ComPrParGas&amp;DLiv,99-21'!V8*42</f>
        <v>74.414199999999994</v>
      </c>
      <c r="W8" s="790">
        <f>+'C-SH-8A ComPrParGas&amp;DLiv,99-21'!W8*42</f>
        <v>82.708500000000001</v>
      </c>
      <c r="X8" s="807">
        <f>+'C-SH-8A ComPrParGas&amp;DLiv,99-21'!X8*42</f>
        <v>63.915599999999991</v>
      </c>
      <c r="Y8" s="836">
        <f>+'C-SH-8A ComPrParGas&amp;DLiv,99-21'!Y8*42</f>
        <v>77.676200000000009</v>
      </c>
      <c r="Z8" s="282">
        <f>+'C-SH-8A ComPrParGas&amp;DLiv,99-21'!Z8*42</f>
        <v>67.555599999999998</v>
      </c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</row>
    <row r="9" spans="2:37" ht="15" customHeight="1" x14ac:dyDescent="0.25">
      <c r="B9" s="555" t="s">
        <v>87</v>
      </c>
      <c r="C9" s="274">
        <f>'C-SH-8A ComPrParGas&amp;DLiv,99-21'!C9*42</f>
        <v>18.188700000000001</v>
      </c>
      <c r="D9" s="280">
        <f>'C-SH-8A ComPrParGas&amp;DLiv,99-21'!D9*42</f>
        <v>36.998234482758619</v>
      </c>
      <c r="E9" s="282">
        <f>'C-SH-8A ComPrParGas&amp;DLiv,99-21'!E9*42</f>
        <v>42.578550000000007</v>
      </c>
      <c r="F9" s="423"/>
      <c r="G9" s="280">
        <f>'C-SH-8A ComPrParGas&amp;DLiv,99-21'!G9*42</f>
        <v>27.957000000000001</v>
      </c>
      <c r="H9" s="281">
        <f>'C-SH-8A ComPrParGas&amp;DLiv,99-21'!H9*42</f>
        <v>44.840849999999996</v>
      </c>
      <c r="I9" s="281">
        <f>'C-SH-8A ComPrParGas&amp;DLiv,99-21'!I9*42</f>
        <v>48.004117241379312</v>
      </c>
      <c r="J9" s="281">
        <f>'C-SH-8A ComPrParGas&amp;DLiv,99-21'!J9*42</f>
        <v>58.910700000000006</v>
      </c>
      <c r="K9" s="281">
        <f>'C-SH-8A ComPrParGas&amp;DLiv,99-21'!K9*42</f>
        <v>74.775300000000001</v>
      </c>
      <c r="L9" s="281">
        <f>'C-SH-8A ComPrParGas&amp;DLiv,99-21'!L9*42</f>
        <v>67.864649999999997</v>
      </c>
      <c r="M9" s="281">
        <f>'C-SH-8A ComPrParGas&amp;DLiv,99-21'!M9*42</f>
        <v>103.15460689655174</v>
      </c>
      <c r="N9" s="281">
        <f>'C-SH-8A ComPrParGas&amp;DLiv,99-21'!N9*42</f>
        <v>56.650049999999993</v>
      </c>
      <c r="O9" s="281">
        <f>+'C-SH-8A ComPrParGas&amp;DLiv,99-21'!O9*42</f>
        <v>87.395400000000024</v>
      </c>
      <c r="P9" s="281">
        <f>+'C-SH-8A ComPrParGas&amp;DLiv,99-21'!P9*42</f>
        <v>111.40709999999999</v>
      </c>
      <c r="Q9" s="281">
        <f>+'C-SH-8A ComPrParGas&amp;DLiv,99-21'!Q9*42</f>
        <v>135.66839999999999</v>
      </c>
      <c r="R9" s="281">
        <f>+'C-SH-8A ComPrParGas&amp;DLiv,99-21'!R9*42</f>
        <v>126.7464655535076</v>
      </c>
      <c r="S9" s="281">
        <f>+'C-SH-8A ComPrParGas&amp;DLiv,99-21'!S9*42</f>
        <v>117.09740000000001</v>
      </c>
      <c r="T9" s="742">
        <f>+'C-SH-8A ComPrParGas&amp;DLiv,99-21'!T9*42</f>
        <v>65.174199999999999</v>
      </c>
      <c r="U9" s="753">
        <f>+'C-SH-8A ComPrParGas&amp;DLiv,99-21'!U9*42</f>
        <v>48.314000000000007</v>
      </c>
      <c r="V9" s="771">
        <f>+'C-SH-8A ComPrParGas&amp;DLiv,99-21'!V9*42</f>
        <v>71.956499999999991</v>
      </c>
      <c r="W9" s="790">
        <f>+'C-SH-8A ComPrParGas&amp;DLiv,99-21'!W9*42</f>
        <v>85.346099999999993</v>
      </c>
      <c r="X9" s="807">
        <f>+'C-SH-8A ComPrParGas&amp;DLiv,99-21'!X9*42</f>
        <v>69.038200000000003</v>
      </c>
      <c r="Y9" s="836">
        <f>+'C-SH-8A ComPrParGas&amp;DLiv,99-21'!Y9*42</f>
        <v>73.074399999999997</v>
      </c>
      <c r="Z9" s="282">
        <f>+'C-SH-8A ComPrParGas&amp;DLiv,99-21'!Z9*42</f>
        <v>75.307399999999987</v>
      </c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</row>
    <row r="10" spans="2:37" ht="15" customHeight="1" x14ac:dyDescent="0.25">
      <c r="B10" s="555" t="s">
        <v>88</v>
      </c>
      <c r="C10" s="274">
        <f>'C-SH-8A ComPrParGas&amp;DLiv,99-21'!C10*42</f>
        <v>19.035890322580645</v>
      </c>
      <c r="D10" s="280">
        <f>'C-SH-8A ComPrParGas&amp;DLiv,99-21'!D10*42</f>
        <v>42.125729032258072</v>
      </c>
      <c r="E10" s="282">
        <f>'C-SH-8A ComPrParGas&amp;DLiv,99-21'!E10*42</f>
        <v>39.61819354838709</v>
      </c>
      <c r="F10" s="423"/>
      <c r="G10" s="280">
        <f>'C-SH-8A ComPrParGas&amp;DLiv,99-21'!G10*42</f>
        <v>30.594561290322584</v>
      </c>
      <c r="H10" s="281">
        <f>'C-SH-8A ComPrParGas&amp;DLiv,99-21'!H10*42</f>
        <v>47.589116129032256</v>
      </c>
      <c r="I10" s="281">
        <f>'C-SH-8A ComPrParGas&amp;DLiv,99-21'!I10*42</f>
        <v>49.716483870967735</v>
      </c>
      <c r="J10" s="281">
        <f>'C-SH-8A ComPrParGas&amp;DLiv,99-21'!J10*42</f>
        <v>61.642316129032267</v>
      </c>
      <c r="K10" s="281">
        <f>'C-SH-8A ComPrParGas&amp;DLiv,99-21'!K10*42</f>
        <v>75.624522580645163</v>
      </c>
      <c r="L10" s="281">
        <f>'C-SH-8A ComPrParGas&amp;DLiv,99-21'!L10*42</f>
        <v>79.840916129032252</v>
      </c>
      <c r="M10" s="281">
        <f>'C-SH-8A ComPrParGas&amp;DLiv,99-21'!M10*42</f>
        <v>112.10910967741934</v>
      </c>
      <c r="N10" s="281">
        <f>'C-SH-8A ComPrParGas&amp;DLiv,99-21'!N10*42</f>
        <v>56.574406451612909</v>
      </c>
      <c r="O10" s="281">
        <f>+'C-SH-8A ComPrParGas&amp;DLiv,99-21'!O10*42</f>
        <v>92.786535483870949</v>
      </c>
      <c r="P10" s="281">
        <f>+'C-SH-8A ComPrParGas&amp;DLiv,99-21'!P10*42</f>
        <v>128.59979999999999</v>
      </c>
      <c r="Q10" s="281">
        <f>+'C-SH-8A ComPrParGas&amp;DLiv,99-21'!Q10*42</f>
        <v>136.9802</v>
      </c>
      <c r="R10" s="281">
        <f>+'C-SH-8A ComPrParGas&amp;DLiv,99-21'!R10*42</f>
        <v>133.35385386032308</v>
      </c>
      <c r="S10" s="281">
        <f>+'C-SH-8A ComPrParGas&amp;DLiv,99-21'!S10*42</f>
        <v>121.61239999999999</v>
      </c>
      <c r="T10" s="742">
        <f>+'C-SH-8A ComPrParGas&amp;DLiv,99-21'!T10*42</f>
        <v>75.755400000000009</v>
      </c>
      <c r="U10" s="753">
        <f>+'C-SH-8A ComPrParGas&amp;DLiv,99-21'!U10*42</f>
        <v>55.027000000000001</v>
      </c>
      <c r="V10" s="771">
        <f>+'C-SH-8A ComPrParGas&amp;DLiv,99-21'!V10*42</f>
        <v>70.658000000000001</v>
      </c>
      <c r="W10" s="790">
        <f>+'C-SH-8A ComPrParGas&amp;DLiv,99-21'!W10*42</f>
        <v>82.878600000000006</v>
      </c>
      <c r="X10" s="807">
        <f>+'C-SH-8A ComPrParGas&amp;DLiv,99-21'!X10*42</f>
        <v>79.447199999999995</v>
      </c>
      <c r="Y10" s="836">
        <f>+'C-SH-8A ComPrParGas&amp;DLiv,99-21'!Y10*42</f>
        <v>58.290400000000005</v>
      </c>
      <c r="Z10" s="282">
        <f>+'C-SH-8A ComPrParGas&amp;DLiv,99-21'!Z10*42</f>
        <v>85.9726</v>
      </c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</row>
    <row r="11" spans="2:37" ht="15" customHeight="1" x14ac:dyDescent="0.25">
      <c r="B11" s="555" t="s">
        <v>145</v>
      </c>
      <c r="C11" s="274">
        <f>'C-SH-8A ComPrParGas&amp;DLiv,99-21'!C11*42</f>
        <v>24.257940000000001</v>
      </c>
      <c r="D11" s="280">
        <f>'C-SH-8A ComPrParGas&amp;DLiv,99-21'!D11*42</f>
        <v>38.633839999999999</v>
      </c>
      <c r="E11" s="282">
        <f>'C-SH-8A ComPrParGas&amp;DLiv,99-21'!E11*42</f>
        <v>43.428280000000001</v>
      </c>
      <c r="F11" s="423"/>
      <c r="G11" s="280">
        <f>'C-SH-8A ComPrParGas&amp;DLiv,99-21'!G11*42</f>
        <v>37.839480000000002</v>
      </c>
      <c r="H11" s="281">
        <f>'C-SH-8A ComPrParGas&amp;DLiv,99-21'!H11*42</f>
        <v>40.494999999999997</v>
      </c>
      <c r="I11" s="281">
        <f>'C-SH-8A ComPrParGas&amp;DLiv,99-21'!I11*42</f>
        <v>51.324560000000005</v>
      </c>
      <c r="J11" s="281">
        <f>'C-SH-8A ComPrParGas&amp;DLiv,99-21'!J11*42</f>
        <v>70.839579999999998</v>
      </c>
      <c r="K11" s="281">
        <f>'C-SH-8A ComPrParGas&amp;DLiv,99-21'!K11*42</f>
        <v>90.553260000000009</v>
      </c>
      <c r="L11" s="281">
        <f>'C-SH-8A ComPrParGas&amp;DLiv,99-21'!L11*42</f>
        <v>90.473320000000015</v>
      </c>
      <c r="M11" s="281">
        <f>'C-SH-8A ComPrParGas&amp;DLiv,99-21'!M11*42</f>
        <v>117.53812000000002</v>
      </c>
      <c r="N11" s="281">
        <f>'C-SH-8A ComPrParGas&amp;DLiv,99-21'!N11*42</f>
        <v>61.849760000000011</v>
      </c>
      <c r="O11" s="281">
        <f>+'C-SH-8A ComPrParGas&amp;DLiv,99-21'!O11*42</f>
        <v>96.970159999999993</v>
      </c>
      <c r="P11" s="281">
        <f>+'C-SH-8A ComPrParGas&amp;DLiv,99-21'!P11*42</f>
        <v>145.13730000000001</v>
      </c>
      <c r="Q11" s="281">
        <f>+'C-SH-8A ComPrParGas&amp;DLiv,99-21'!Q11*42</f>
        <v>143.8836</v>
      </c>
      <c r="R11" s="281">
        <f>+'C-SH-8A ComPrParGas&amp;DLiv,99-21'!R11*42</f>
        <v>128.21601110321612</v>
      </c>
      <c r="S11" s="281">
        <f>+'C-SH-8A ComPrParGas&amp;DLiv,99-21'!S11*42</f>
        <v>124.71690000000001</v>
      </c>
      <c r="T11" s="742">
        <f>+'C-SH-8A ComPrParGas&amp;DLiv,99-21'!T11*42</f>
        <v>80.120249999999999</v>
      </c>
      <c r="U11" s="753">
        <f>+'C-SH-8A ComPrParGas&amp;DLiv,99-21'!U11*42</f>
        <v>63.18480000000001</v>
      </c>
      <c r="V11" s="771">
        <f>+'C-SH-8A ComPrParGas&amp;DLiv,99-21'!V11*42</f>
        <v>74.432400000000001</v>
      </c>
      <c r="W11" s="790">
        <f>+'C-SH-8A ComPrParGas&amp;DLiv,99-21'!W11*42</f>
        <v>88.43519999999998</v>
      </c>
      <c r="X11" s="807">
        <f>+'C-SH-8A ComPrParGas&amp;DLiv,99-21'!X11*42</f>
        <v>89.36760000000001</v>
      </c>
      <c r="Y11" s="836">
        <f>+'C-SH-8A ComPrParGas&amp;DLiv,99-21'!Y11*42</f>
        <v>30.067799999999998</v>
      </c>
      <c r="Z11" s="282">
        <f>+'C-SH-8A ComPrParGas&amp;DLiv,99-21'!Z11*42</f>
        <v>88.670400000000001</v>
      </c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</row>
    <row r="12" spans="2:37" ht="15" customHeight="1" x14ac:dyDescent="0.25">
      <c r="B12" s="555" t="s">
        <v>90</v>
      </c>
      <c r="C12" s="274">
        <f>'C-SH-8A ComPrParGas&amp;DLiv,99-21'!C12*42</f>
        <v>25.984451612903229</v>
      </c>
      <c r="D12" s="280">
        <f>'C-SH-8A ComPrParGas&amp;DLiv,99-21'!D12*42</f>
        <v>39.796490322580652</v>
      </c>
      <c r="E12" s="282">
        <f>'C-SH-8A ComPrParGas&amp;DLiv,99-21'!E12*42</f>
        <v>48.009522580645161</v>
      </c>
      <c r="F12" s="423"/>
      <c r="G12" s="280">
        <f>'C-SH-8A ComPrParGas&amp;DLiv,99-21'!G12*42</f>
        <v>37.400729032258056</v>
      </c>
      <c r="H12" s="281">
        <f>'C-SH-8A ComPrParGas&amp;DLiv,99-21'!H12*42</f>
        <v>36.978154838709678</v>
      </c>
      <c r="I12" s="281">
        <f>'C-SH-8A ComPrParGas&amp;DLiv,99-21'!I12*42</f>
        <v>55.727496774193547</v>
      </c>
      <c r="J12" s="281">
        <f>'C-SH-8A ComPrParGas&amp;DLiv,99-21'!J12*42</f>
        <v>66.158129032258074</v>
      </c>
      <c r="K12" s="281">
        <f>'C-SH-8A ComPrParGas&amp;DLiv,99-21'!K12*42</f>
        <v>96.488361290322587</v>
      </c>
      <c r="L12" s="281">
        <f>'C-SH-8A ComPrParGas&amp;DLiv,99-21'!L12*42</f>
        <v>100.80094838709677</v>
      </c>
      <c r="M12" s="281">
        <f>'C-SH-8A ComPrParGas&amp;DLiv,99-21'!M12*42</f>
        <v>133.14921290322579</v>
      </c>
      <c r="N12" s="281">
        <f>'C-SH-8A ComPrParGas&amp;DLiv,99-21'!N12*42</f>
        <v>68.09798709677419</v>
      </c>
      <c r="O12" s="281">
        <f>+'C-SH-8A ComPrParGas&amp;DLiv,99-21'!O12*42</f>
        <v>96.869206451612925</v>
      </c>
      <c r="P12" s="281">
        <f>+'C-SH-8A ComPrParGas&amp;DLiv,99-21'!P12*42</f>
        <v>149.66910000000001</v>
      </c>
      <c r="Q12" s="281">
        <f>+'C-SH-8A ComPrParGas&amp;DLiv,99-21'!Q12*42</f>
        <v>130.33580000000001</v>
      </c>
      <c r="R12" s="281">
        <f>+'C-SH-8A ComPrParGas&amp;DLiv,99-21'!R12*42</f>
        <v>124.77591012526116</v>
      </c>
      <c r="S12" s="281">
        <f>+'C-SH-8A ComPrParGas&amp;DLiv,99-21'!S12*42</f>
        <v>127.00239999999999</v>
      </c>
      <c r="T12" s="742">
        <f>+'C-SH-8A ComPrParGas&amp;DLiv,99-21'!T12*42</f>
        <v>88.081000000000003</v>
      </c>
      <c r="U12" s="753">
        <f>+'C-SH-8A ComPrParGas&amp;DLiv,99-21'!U12*42</f>
        <v>68.684700000000007</v>
      </c>
      <c r="V12" s="771">
        <f>+'C-SH-8A ComPrParGas&amp;DLiv,99-21'!V12*42</f>
        <v>73.156999999999996</v>
      </c>
      <c r="W12" s="790">
        <f>+'C-SH-8A ComPrParGas&amp;DLiv,99-21'!W12*42</f>
        <v>94.890600000000006</v>
      </c>
      <c r="X12" s="807">
        <f>+'C-SH-8A ComPrParGas&amp;DLiv,99-21'!X12*42</f>
        <v>91.378000000000014</v>
      </c>
      <c r="Y12" s="836">
        <f>+'C-SH-8A ComPrParGas&amp;DLiv,99-21'!Y12*42</f>
        <v>36.171799999999998</v>
      </c>
      <c r="Z12" s="282">
        <f>+'C-SH-8A ComPrParGas&amp;DLiv,99-21'!Z12*42</f>
        <v>90.742400000000004</v>
      </c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2:37" ht="15" customHeight="1" x14ac:dyDescent="0.25">
      <c r="B13" s="555" t="s">
        <v>91</v>
      </c>
      <c r="C13" s="274">
        <f>'C-SH-8A ComPrParGas&amp;DLiv,99-21'!C13*42</f>
        <v>24.626840000000001</v>
      </c>
      <c r="D13" s="280">
        <f>'C-SH-8A ComPrParGas&amp;DLiv,99-21'!D13*42</f>
        <v>44.276119999999999</v>
      </c>
      <c r="E13" s="282">
        <f>'C-SH-8A ComPrParGas&amp;DLiv,99-21'!E13*42</f>
        <v>42.37744</v>
      </c>
      <c r="F13" s="423"/>
      <c r="G13" s="280">
        <f>'C-SH-8A ComPrParGas&amp;DLiv,99-21'!G13*42</f>
        <v>36.514240000000001</v>
      </c>
      <c r="H13" s="281">
        <f>'C-SH-8A ComPrParGas&amp;DLiv,99-21'!H13*42</f>
        <v>38.260040000000004</v>
      </c>
      <c r="I13" s="281">
        <f>'C-SH-8A ComPrParGas&amp;DLiv,99-21'!I13*42</f>
        <v>57.611960000000003</v>
      </c>
      <c r="J13" s="281">
        <f>'C-SH-8A ComPrParGas&amp;DLiv,99-21'!J13*42</f>
        <v>65.773960000000002</v>
      </c>
      <c r="K13" s="281">
        <f>'C-SH-8A ComPrParGas&amp;DLiv,99-21'!K13*42</f>
        <v>93.091319999999982</v>
      </c>
      <c r="L13" s="281">
        <f>'C-SH-8A ComPrParGas&amp;DLiv,99-21'!L13*42</f>
        <v>101.61998</v>
      </c>
      <c r="M13" s="281">
        <f>'C-SH-8A ComPrParGas&amp;DLiv,99-21'!M13*42</f>
        <v>144.54874000000001</v>
      </c>
      <c r="N13" s="281">
        <f>'C-SH-8A ComPrParGas&amp;DLiv,99-21'!N13*42</f>
        <v>83.674702125869885</v>
      </c>
      <c r="O13" s="281">
        <f>+'C-SH-8A ComPrParGas&amp;DLiv,99-21'!O13*42</f>
        <v>86.701439999999991</v>
      </c>
      <c r="P13" s="281">
        <f>+'C-SH-8A ComPrParGas&amp;DLiv,99-21'!P13*42</f>
        <v>135.18540000000002</v>
      </c>
      <c r="Q13" s="281">
        <f>+'C-SH-8A ComPrParGas&amp;DLiv,99-21'!Q13*42</f>
        <v>120.27680000000001</v>
      </c>
      <c r="R13" s="281">
        <f>+'C-SH-8A ComPrParGas&amp;DLiv,99-21'!R13*42</f>
        <v>124.4628</v>
      </c>
      <c r="S13" s="281">
        <f>+'C-SH-8A ComPrParGas&amp;DLiv,99-21'!S13*42</f>
        <v>130.02219999999997</v>
      </c>
      <c r="T13" s="742">
        <f>+'C-SH-8A ComPrParGas&amp;DLiv,99-21'!T13*42</f>
        <v>91.49</v>
      </c>
      <c r="U13" s="753">
        <f>+'C-SH-8A ComPrParGas&amp;DLiv,99-21'!U13*42</f>
        <v>69.763400000000004</v>
      </c>
      <c r="V13" s="771">
        <f>+'C-SH-8A ComPrParGas&amp;DLiv,99-21'!V13*42</f>
        <v>71.538599999999988</v>
      </c>
      <c r="W13" s="790">
        <f>+'C-SH-8A ComPrParGas&amp;DLiv,99-21'!W13*42</f>
        <v>95.328800000000001</v>
      </c>
      <c r="X13" s="807">
        <f>+'C-SH-8A ComPrParGas&amp;DLiv,99-21'!X13*42</f>
        <v>83.690600000000003</v>
      </c>
      <c r="Y13" s="836">
        <f>+'C-SH-8A ComPrParGas&amp;DLiv,99-21'!Y13*42</f>
        <v>47.3536</v>
      </c>
      <c r="Z13" s="282">
        <f>+'C-SH-8A ComPrParGas&amp;DLiv,99-21'!Z13*42</f>
        <v>93.192399999999992</v>
      </c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2:37" ht="15" customHeight="1" x14ac:dyDescent="0.25">
      <c r="B14" s="555" t="s">
        <v>93</v>
      </c>
      <c r="C14" s="274">
        <f>'C-SH-8A ComPrParGas&amp;DLiv,99-21'!C14*42</f>
        <v>27.426406451612905</v>
      </c>
      <c r="D14" s="280">
        <f>'C-SH-8A ComPrParGas&amp;DLiv,99-21'!D14*42</f>
        <v>45.248090322580644</v>
      </c>
      <c r="E14" s="282">
        <f>'C-SH-8A ComPrParGas&amp;DLiv,99-21'!E14*42</f>
        <v>34.222412903225809</v>
      </c>
      <c r="F14" s="423"/>
      <c r="G14" s="280">
        <f>'C-SH-8A ComPrParGas&amp;DLiv,99-21'!G14*42</f>
        <v>37.150761290322585</v>
      </c>
      <c r="H14" s="281">
        <f>'C-SH-8A ComPrParGas&amp;DLiv,99-21'!H14*42</f>
        <v>39.382722580645165</v>
      </c>
      <c r="I14" s="281">
        <f>'C-SH-8A ComPrParGas&amp;DLiv,99-21'!I14*42</f>
        <v>55.034903225806445</v>
      </c>
      <c r="J14" s="281">
        <f>'C-SH-8A ComPrParGas&amp;DLiv,99-21'!J14*42</f>
        <v>70.674619354838711</v>
      </c>
      <c r="K14" s="281">
        <f>'C-SH-8A ComPrParGas&amp;DLiv,99-21'!K14*42</f>
        <v>97.816916129032265</v>
      </c>
      <c r="L14" s="281">
        <f>'C-SH-8A ComPrParGas&amp;DLiv,99-21'!L14*42</f>
        <v>98.093303225806466</v>
      </c>
      <c r="M14" s="281">
        <f>'C-SH-8A ComPrParGas&amp;DLiv,99-21'!M14*42</f>
        <v>147.26703870967742</v>
      </c>
      <c r="N14" s="281">
        <f>'C-SH-8A ComPrParGas&amp;DLiv,99-21'!N14*42</f>
        <v>78.961338619791803</v>
      </c>
      <c r="O14" s="281">
        <f>+'C-SH-8A ComPrParGas&amp;DLiv,99-21'!O14*42</f>
        <v>90.236593548387091</v>
      </c>
      <c r="P14" s="281">
        <f>+'C-SH-8A ComPrParGas&amp;DLiv,99-21'!P14*42</f>
        <v>136.6302</v>
      </c>
      <c r="Q14" s="281">
        <f>+'C-SH-8A ComPrParGas&amp;DLiv,99-21'!Q14*42</f>
        <v>118.09140000000001</v>
      </c>
      <c r="R14" s="281">
        <f>+'C-SH-8A ComPrParGas&amp;DLiv,99-21'!R14*42</f>
        <v>126.54599999999999</v>
      </c>
      <c r="S14" s="281">
        <f>+'C-SH-8A ComPrParGas&amp;DLiv,99-21'!S14*42</f>
        <v>130.16499999999999</v>
      </c>
      <c r="T14" s="742">
        <f>+'C-SH-8A ComPrParGas&amp;DLiv,99-21'!T14*42</f>
        <v>93.128000000000014</v>
      </c>
      <c r="U14" s="753">
        <f>+'C-SH-8A ComPrParGas&amp;DLiv,99-21'!U14*42</f>
        <v>65.451750000000004</v>
      </c>
      <c r="V14" s="771">
        <f>+'C-SH-8A ComPrParGas&amp;DLiv,99-21'!V14*42</f>
        <v>68.558000000000007</v>
      </c>
      <c r="W14" s="790">
        <f>+'C-SH-8A ComPrParGas&amp;DLiv,99-21'!W14*42</f>
        <v>93.01039999999999</v>
      </c>
      <c r="X14" s="807">
        <f>+'C-SH-8A ComPrParGas&amp;DLiv,99-21'!X14*42</f>
        <v>84.095200000000006</v>
      </c>
      <c r="Y14" s="836">
        <f>+'C-SH-8A ComPrParGas&amp;DLiv,99-21'!Y14*42</f>
        <v>56.106400000000001</v>
      </c>
      <c r="Z14" s="282">
        <f>+'C-SH-8A ComPrParGas&amp;DLiv,99-21'!Z14*42</f>
        <v>96.858999999999995</v>
      </c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</row>
    <row r="15" spans="2:37" ht="15" customHeight="1" x14ac:dyDescent="0.25">
      <c r="B15" s="555" t="s">
        <v>94</v>
      </c>
      <c r="C15" s="274">
        <f>'C-SH-8A ComPrParGas&amp;DLiv,99-21'!C15*42</f>
        <v>29.953722580645163</v>
      </c>
      <c r="D15" s="280">
        <f>'C-SH-8A ComPrParGas&amp;DLiv,99-21'!D15*42</f>
        <v>39.994838709677424</v>
      </c>
      <c r="E15" s="282">
        <f>'C-SH-8A ComPrParGas&amp;DLiv,99-21'!E15*42</f>
        <v>35.539587096774191</v>
      </c>
      <c r="F15" s="423"/>
      <c r="G15" s="280">
        <f>'C-SH-8A ComPrParGas&amp;DLiv,99-21'!G15*42</f>
        <v>37.563716129032258</v>
      </c>
      <c r="H15" s="281">
        <f>'C-SH-8A ComPrParGas&amp;DLiv,99-21'!H15*42</f>
        <v>42.94513548387097</v>
      </c>
      <c r="I15" s="281">
        <f>'C-SH-8A ComPrParGas&amp;DLiv,99-21'!I15*42</f>
        <v>54.945890322580645</v>
      </c>
      <c r="J15" s="281">
        <f>'C-SH-8A ComPrParGas&amp;DLiv,99-21'!J15*42</f>
        <v>77.158606451612911</v>
      </c>
      <c r="K15" s="281">
        <f>'C-SH-8A ComPrParGas&amp;DLiv,99-21'!K15*42</f>
        <v>99.189638709677439</v>
      </c>
      <c r="L15" s="281">
        <f>'C-SH-8A ComPrParGas&amp;DLiv,99-21'!L15*42</f>
        <v>90.957774193548389</v>
      </c>
      <c r="M15" s="281">
        <f>'C-SH-8A ComPrParGas&amp;DLiv,99-21'!M15*42</f>
        <v>134.36447568187725</v>
      </c>
      <c r="N15" s="281">
        <f>'C-SH-8A ComPrParGas&amp;DLiv,99-21'!N15*42</f>
        <v>83.909496774193542</v>
      </c>
      <c r="O15" s="281">
        <f>+'C-SH-8A ComPrParGas&amp;DLiv,99-21'!O15*42</f>
        <v>90.10625806451614</v>
      </c>
      <c r="P15" s="281">
        <f>+'C-SH-8A ComPrParGas&amp;DLiv,99-21'!P15*42</f>
        <v>138.10719999999998</v>
      </c>
      <c r="Q15" s="281">
        <f>+'C-SH-8A ComPrParGas&amp;DLiv,99-21'!Q15*42</f>
        <v>127.27064445278803</v>
      </c>
      <c r="R15" s="281">
        <f>+'C-SH-8A ComPrParGas&amp;DLiv,99-21'!R15*42</f>
        <v>131.58879999999999</v>
      </c>
      <c r="S15" s="281">
        <f>+'C-SH-8A ComPrParGas&amp;DLiv,99-21'!S15*42</f>
        <v>123.35959999999999</v>
      </c>
      <c r="T15" s="742">
        <f>+'C-SH-8A ComPrParGas&amp;DLiv,99-21'!T15*42</f>
        <v>84.616000000000014</v>
      </c>
      <c r="U15" s="753">
        <f>+'C-SH-8A ComPrParGas&amp;DLiv,99-21'!U15*42</f>
        <v>62.935600000000001</v>
      </c>
      <c r="V15" s="771">
        <f>+'C-SH-8A ComPrParGas&amp;DLiv,99-21'!V15*42</f>
        <v>74.754400000000004</v>
      </c>
      <c r="W15" s="790">
        <f>+'C-SH-8A ComPrParGas&amp;DLiv,99-21'!W15*42</f>
        <v>93.632699999999986</v>
      </c>
      <c r="X15" s="807">
        <f>+'C-SH-8A ComPrParGas&amp;DLiv,99-21'!X15*42</f>
        <v>80.465000000000003</v>
      </c>
      <c r="Y15" s="836">
        <f>+'C-SH-8A ComPrParGas&amp;DLiv,99-21'!Y15*42</f>
        <v>56.800800000000002</v>
      </c>
      <c r="Z15" s="282">
        <f>+'C-SH-8A ComPrParGas&amp;DLiv,99-21'!Z15*42</f>
        <v>98.044799999999995</v>
      </c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</row>
    <row r="16" spans="2:37" ht="15" customHeight="1" x14ac:dyDescent="0.25">
      <c r="B16" s="555" t="s">
        <v>101</v>
      </c>
      <c r="C16" s="274">
        <f>'C-SH-8A ComPrParGas&amp;DLiv,99-21'!C16*42</f>
        <v>31.291679999999996</v>
      </c>
      <c r="D16" s="280">
        <f>'C-SH-8A ComPrParGas&amp;DLiv,99-21'!D16*42</f>
        <v>43.49016000000001</v>
      </c>
      <c r="E16" s="282">
        <f>'C-SH-8A ComPrParGas&amp;DLiv,99-21'!E16*42</f>
        <v>39.514440000000008</v>
      </c>
      <c r="F16" s="423"/>
      <c r="G16" s="280">
        <f>'C-SH-8A ComPrParGas&amp;DLiv,99-21'!G16*42</f>
        <v>37.612120000000004</v>
      </c>
      <c r="H16" s="281">
        <f>'C-SH-8A ComPrParGas&amp;DLiv,99-21'!H16*42</f>
        <v>43.056159999999998</v>
      </c>
      <c r="I16" s="281">
        <f>'C-SH-8A ComPrParGas&amp;DLiv,99-21'!I16*42</f>
        <v>53.592839999999995</v>
      </c>
      <c r="J16" s="281">
        <f>'C-SH-8A ComPrParGas&amp;DLiv,99-21'!J16*42</f>
        <v>89.968620000000001</v>
      </c>
      <c r="K16" s="281">
        <f>'C-SH-8A ComPrParGas&amp;DLiv,99-21'!K16*42</f>
        <v>79.549959999999999</v>
      </c>
      <c r="L16" s="281">
        <f>'C-SH-8A ComPrParGas&amp;DLiv,99-21'!L16*42</f>
        <v>91.193200000000004</v>
      </c>
      <c r="M16" s="281">
        <f>'C-SH-8A ComPrParGas&amp;DLiv,99-21'!M16*42</f>
        <v>137.92180103372607</v>
      </c>
      <c r="N16" s="281">
        <f>'C-SH-8A ComPrParGas&amp;DLiv,99-21'!N16*42</f>
        <v>81.635960000000011</v>
      </c>
      <c r="O16" s="281">
        <f>+'C-SH-8A ComPrParGas&amp;DLiv,99-21'!O16*42</f>
        <v>86.848160000000007</v>
      </c>
      <c r="P16" s="281">
        <f>+'C-SH-8A ComPrParGas&amp;DLiv,99-21'!P16*42</f>
        <v>133.64400000000001</v>
      </c>
      <c r="Q16" s="281">
        <f>+'C-SH-8A ComPrParGas&amp;DLiv,99-21'!Q16*42</f>
        <v>137.33365888336488</v>
      </c>
      <c r="R16" s="281">
        <f>+'C-SH-8A ComPrParGas&amp;DLiv,99-21'!R16*42</f>
        <v>125.94260000000001</v>
      </c>
      <c r="S16" s="281">
        <f>+'C-SH-8A ComPrParGas&amp;DLiv,99-21'!S16*42</f>
        <v>120.5988</v>
      </c>
      <c r="T16" s="742">
        <f>+'C-SH-8A ComPrParGas&amp;DLiv,99-21'!T16*42</f>
        <v>69.962199999999996</v>
      </c>
      <c r="U16" s="753">
        <f>+'C-SH-8A ComPrParGas&amp;DLiv,99-21'!U16*42</f>
        <v>66.119199999999992</v>
      </c>
      <c r="V16" s="771">
        <f>+'C-SH-8A ComPrParGas&amp;DLiv,99-21'!V16*42</f>
        <v>79.345000000000013</v>
      </c>
      <c r="W16" s="790">
        <f>+'C-SH-8A ComPrParGas&amp;DLiv,99-21'!W16*42</f>
        <v>92.301999999999992</v>
      </c>
      <c r="X16" s="807">
        <f>+'C-SH-8A ComPrParGas&amp;DLiv,99-21'!X16*42</f>
        <v>77.211399999999998</v>
      </c>
      <c r="Y16" s="836">
        <f>+'C-SH-8A ComPrParGas&amp;DLiv,99-21'!Y16*42</f>
        <v>57.253</v>
      </c>
      <c r="Z16" s="282">
        <f>+'C-SH-8A ComPrParGas&amp;DLiv,99-21'!Z16*42</f>
        <v>97.974799999999988</v>
      </c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2:37" ht="15" customHeight="1" x14ac:dyDescent="0.25">
      <c r="B17" s="555" t="s">
        <v>95</v>
      </c>
      <c r="C17" s="274">
        <f>'C-SH-8A ComPrParGas&amp;DLiv,99-21'!C17*42</f>
        <v>32.10073548387097</v>
      </c>
      <c r="D17" s="280">
        <f>'C-SH-8A ComPrParGas&amp;DLiv,99-21'!D17*42</f>
        <v>42.397916129032254</v>
      </c>
      <c r="E17" s="282">
        <f>'C-SH-8A ComPrParGas&amp;DLiv,99-21'!E17*42</f>
        <v>32.219690322580647</v>
      </c>
      <c r="F17" s="423"/>
      <c r="G17" s="280">
        <f>'C-SH-8A ComPrParGas&amp;DLiv,99-21'!G17*42</f>
        <v>39.653554838709681</v>
      </c>
      <c r="H17" s="281">
        <f>'C-SH-8A ComPrParGas&amp;DLiv,99-21'!H17*42</f>
        <v>38.612361290322582</v>
      </c>
      <c r="I17" s="281">
        <f>'C-SH-8A ComPrParGas&amp;DLiv,99-21'!I17*42</f>
        <v>60.688238709677421</v>
      </c>
      <c r="J17" s="281">
        <f>'C-SH-8A ComPrParGas&amp;DLiv,99-21'!J17*42</f>
        <v>95.755664516129031</v>
      </c>
      <c r="K17" s="281">
        <f>'C-SH-8A ComPrParGas&amp;DLiv,99-21'!K17*42</f>
        <v>69.119941935483865</v>
      </c>
      <c r="L17" s="281">
        <f>'C-SH-8A ComPrParGas&amp;DLiv,99-21'!L17*42</f>
        <v>92.793851612903225</v>
      </c>
      <c r="M17" s="281">
        <f>'C-SH-8A ComPrParGas&amp;DLiv,99-21'!M17*42</f>
        <v>111.70753548387097</v>
      </c>
      <c r="N17" s="281">
        <f>'C-SH-8A ComPrParGas&amp;DLiv,99-21'!N17*42</f>
        <v>78.846735483870958</v>
      </c>
      <c r="O17" s="281">
        <f>+'C-SH-8A ComPrParGas&amp;DLiv,99-21'!O17*42</f>
        <v>90.983109677419364</v>
      </c>
      <c r="P17" s="281">
        <f>+'C-SH-8A ComPrParGas&amp;DLiv,99-21'!P17*42</f>
        <v>124.06659999999998</v>
      </c>
      <c r="Q17" s="281">
        <f>+'C-SH-8A ComPrParGas&amp;DLiv,99-21'!Q17*42</f>
        <v>134.84482594739438</v>
      </c>
      <c r="R17" s="281">
        <f>+'C-SH-8A ComPrParGas&amp;DLiv,99-21'!R17*42</f>
        <v>115.11865264634255</v>
      </c>
      <c r="S17" s="281">
        <f>+'C-SH-8A ComPrParGas&amp;DLiv,99-21'!S17*42</f>
        <v>108.48285000000001</v>
      </c>
      <c r="T17" s="742">
        <f>+'C-SH-8A ComPrParGas&amp;DLiv,99-21'!T17*42</f>
        <v>62.308399999999992</v>
      </c>
      <c r="U17" s="753">
        <f>+'C-SH-8A ComPrParGas&amp;DLiv,99-21'!U17*42</f>
        <v>67.850999999999999</v>
      </c>
      <c r="V17" s="771">
        <f>+'C-SH-8A ComPrParGas&amp;DLiv,99-21'!V17*42</f>
        <v>75.758199999999988</v>
      </c>
      <c r="W17" s="790">
        <f>+'C-SH-8A ComPrParGas&amp;DLiv,99-21'!W17*42</f>
        <v>92.73599999999999</v>
      </c>
      <c r="X17" s="807">
        <f>+'C-SH-8A ComPrParGas&amp;DLiv,99-21'!X17*42</f>
        <v>76.682199999999995</v>
      </c>
      <c r="Y17" s="836">
        <f>+'C-SH-8A ComPrParGas&amp;DLiv,99-21'!Y17*42</f>
        <v>55.900599999999997</v>
      </c>
      <c r="Z17" s="282">
        <f>+'C-SH-8A ComPrParGas&amp;DLiv,99-21'!Z17*42</f>
        <v>102.19439999999999</v>
      </c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2:37" ht="15" customHeight="1" x14ac:dyDescent="0.25">
      <c r="B18" s="555" t="s">
        <v>96</v>
      </c>
      <c r="C18" s="274">
        <f>'C-SH-8A ComPrParGas&amp;DLiv,99-21'!C18*42</f>
        <v>31.127179999999996</v>
      </c>
      <c r="D18" s="280">
        <f>'C-SH-8A ComPrParGas&amp;DLiv,99-21'!D18*42</f>
        <v>42.46116</v>
      </c>
      <c r="E18" s="282">
        <f>'C-SH-8A ComPrParGas&amp;DLiv,99-21'!E18*42</f>
        <v>27.189959999999999</v>
      </c>
      <c r="F18" s="423"/>
      <c r="G18" s="280">
        <f>'C-SH-8A ComPrParGas&amp;DLiv,99-21'!G18*42</f>
        <v>39.026540000000004</v>
      </c>
      <c r="H18" s="281">
        <f>'C-SH-8A ComPrParGas&amp;DLiv,99-21'!H18*42</f>
        <v>39.502400000000002</v>
      </c>
      <c r="I18" s="281">
        <f>'C-SH-8A ComPrParGas&amp;DLiv,99-21'!I18*42</f>
        <v>60.296040000000005</v>
      </c>
      <c r="J18" s="281">
        <f>'C-SH-8A ComPrParGas&amp;DLiv,99-21'!J18*42</f>
        <v>71.19644000000001</v>
      </c>
      <c r="K18" s="281">
        <f>'C-SH-8A ComPrParGas&amp;DLiv,99-21'!K18*42</f>
        <v>69.818699999999993</v>
      </c>
      <c r="L18" s="281">
        <f>'C-SH-8A ComPrParGas&amp;DLiv,99-21'!L18*42</f>
        <v>102.66928</v>
      </c>
      <c r="M18" s="281">
        <f>'C-SH-8A ComPrParGas&amp;DLiv,99-21'!M18*42</f>
        <v>65.719220000000007</v>
      </c>
      <c r="N18" s="281">
        <f>'C-SH-8A ComPrParGas&amp;DLiv,99-21'!N18*42</f>
        <v>86.739800000000002</v>
      </c>
      <c r="O18" s="281">
        <f>+'C-SH-8A ComPrParGas&amp;DLiv,99-21'!O18*42</f>
        <v>93.520560000000003</v>
      </c>
      <c r="P18" s="281">
        <f>+'C-SH-8A ComPrParGas&amp;DLiv,99-21'!P18*42</f>
        <v>123.09780000000001</v>
      </c>
      <c r="Q18" s="281">
        <f>+'C-SH-8A ComPrParGas&amp;DLiv,99-21'!Q18*42</f>
        <v>116.40666659597905</v>
      </c>
      <c r="R18" s="281">
        <f>+'C-SH-8A ComPrParGas&amp;DLiv,99-21'!R18*42</f>
        <v>111.11881387007753</v>
      </c>
      <c r="S18" s="281">
        <f>+'C-SH-8A ComPrParGas&amp;DLiv,99-21'!S18*42</f>
        <v>93.888199999999998</v>
      </c>
      <c r="T18" s="742">
        <f>+'C-SH-8A ComPrParGas&amp;DLiv,99-21'!T18*42</f>
        <v>59.796800000000005</v>
      </c>
      <c r="U18" s="753">
        <f>+'C-SH-8A ComPrParGas&amp;DLiv,99-21'!U18*42</f>
        <v>64.847999999999999</v>
      </c>
      <c r="V18" s="771">
        <f>+'C-SH-8A ComPrParGas&amp;DLiv,99-21'!V18*42</f>
        <v>79.108400000000003</v>
      </c>
      <c r="W18" s="790">
        <f>+'C-SH-8A ComPrParGas&amp;DLiv,99-21'!W18*42</f>
        <v>81.624200000000002</v>
      </c>
      <c r="X18" s="807">
        <f>+'C-SH-8A ComPrParGas&amp;DLiv,99-21'!X18*42</f>
        <v>76.206199999999995</v>
      </c>
      <c r="Y18" s="836">
        <f>+'C-SH-8A ComPrParGas&amp;DLiv,99-21'!Y18*42</f>
        <v>53.607400000000005</v>
      </c>
      <c r="Z18" s="282">
        <f>+'C-SH-8A ComPrParGas&amp;DLiv,99-21'!Z18*42</f>
        <v>107.905</v>
      </c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2:37" ht="15" customHeight="1" x14ac:dyDescent="0.25">
      <c r="B19" s="555" t="s">
        <v>97</v>
      </c>
      <c r="C19" s="274">
        <f>'C-SH-8A ComPrParGas&amp;DLiv,99-21'!C19*42</f>
        <v>34.213064516129037</v>
      </c>
      <c r="D19" s="280">
        <f>'C-SH-8A ComPrParGas&amp;DLiv,99-21'!D19*42</f>
        <v>39.403451612903226</v>
      </c>
      <c r="E19" s="282">
        <f>'C-SH-8A ComPrParGas&amp;DLiv,99-21'!E19*42</f>
        <v>24.98676923076923</v>
      </c>
      <c r="F19" s="423"/>
      <c r="G19" s="280">
        <f>'C-SH-8A ComPrParGas&amp;DLiv,99-21'!G19*42</f>
        <v>35.014722580645163</v>
      </c>
      <c r="H19" s="281">
        <f>'C-SH-8A ComPrParGas&amp;DLiv,99-21'!H19*42</f>
        <v>40.319864516129037</v>
      </c>
      <c r="I19" s="281">
        <f>'C-SH-8A ComPrParGas&amp;DLiv,99-21'!I19*42</f>
        <v>54.18216774193548</v>
      </c>
      <c r="J19" s="281">
        <f>'C-SH-8A ComPrParGas&amp;DLiv,99-21'!J19*42</f>
        <v>68.327225806451622</v>
      </c>
      <c r="K19" s="281">
        <f>'C-SH-8A ComPrParGas&amp;DLiv,99-21'!K19*42</f>
        <v>72.290670967741946</v>
      </c>
      <c r="L19" s="281">
        <f>'C-SH-8A ComPrParGas&amp;DLiv,99-21'!L19*42</f>
        <v>101.66127096774196</v>
      </c>
      <c r="M19" s="281">
        <f>'C-SH-8A ComPrParGas&amp;DLiv,99-21'!M19*42</f>
        <v>49.015761290322573</v>
      </c>
      <c r="N19" s="281">
        <f>'C-SH-8A ComPrParGas&amp;DLiv,99-21'!N19*42</f>
        <v>85.376869100454456</v>
      </c>
      <c r="O19" s="281">
        <f>+'C-SH-8A ComPrParGas&amp;DLiv,99-21'!O19*42</f>
        <v>98.628193548387088</v>
      </c>
      <c r="P19" s="281">
        <f>+'C-SH-8A ComPrParGas&amp;DLiv,99-21'!P19*42</f>
        <v>119.6062</v>
      </c>
      <c r="Q19" s="281">
        <f>+'C-SH-8A ComPrParGas&amp;DLiv,99-21'!Q19*42</f>
        <v>114.32903083379009</v>
      </c>
      <c r="R19" s="281">
        <f>+'C-SH-8A ComPrParGas&amp;DLiv,99-21'!R19*42</f>
        <v>114.7587</v>
      </c>
      <c r="S19" s="281">
        <f>+'C-SH-8A ComPrParGas&amp;DLiv,99-21'!S19*42</f>
        <v>73.531499999999994</v>
      </c>
      <c r="T19" s="742">
        <f>+'C-SH-8A ComPrParGas&amp;DLiv,99-21'!T19*42</f>
        <v>57.575000000000003</v>
      </c>
      <c r="U19" s="753">
        <f>+'C-SH-8A ComPrParGas&amp;DLiv,99-21'!U19*42</f>
        <v>66.371200000000002</v>
      </c>
      <c r="V19" s="771">
        <f>+'C-SH-8A ComPrParGas&amp;DLiv,99-21'!V19*42</f>
        <v>79.168599999999998</v>
      </c>
      <c r="W19" s="790">
        <f>+'C-SH-8A ComPrParGas&amp;DLiv,99-21'!W19*42</f>
        <v>69.63600000000001</v>
      </c>
      <c r="X19" s="807">
        <f>+'C-SH-8A ComPrParGas&amp;DLiv,99-21'!X19*42</f>
        <v>75.8352</v>
      </c>
      <c r="Y19" s="836">
        <f>+'C-SH-8A ComPrParGas&amp;DLiv,99-21'!Y19*42</f>
        <v>59.999800000000008</v>
      </c>
      <c r="Z19" s="282">
        <f>+'C-SH-8A ComPrParGas&amp;DLiv,99-21'!Z19*42</f>
        <v>97.598199999999991</v>
      </c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2:37" ht="15" customHeight="1" thickBot="1" x14ac:dyDescent="0.3">
      <c r="B20" s="600"/>
      <c r="C20" s="288"/>
      <c r="D20" s="283"/>
      <c r="E20" s="291"/>
      <c r="F20" s="422"/>
      <c r="G20" s="421"/>
      <c r="H20" s="290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418"/>
    </row>
    <row r="21" spans="2:37" ht="24.9" customHeight="1" thickBot="1" x14ac:dyDescent="0.3">
      <c r="B21" s="602" t="s">
        <v>99</v>
      </c>
      <c r="C21" s="292">
        <f>'C-SH-8A ComPrParGas&amp;DLiv,99-21'!C21*42</f>
        <v>26.402350684931509</v>
      </c>
      <c r="D21" s="293">
        <f>'C-SH-8A ComPrParGas&amp;DLiv,99-21'!D21*42</f>
        <v>40.666786885245905</v>
      </c>
      <c r="E21" s="294">
        <f>'C-SH-8A ComPrParGas&amp;DLiv,99-21'!E21*42</f>
        <v>37.555046666666669</v>
      </c>
      <c r="F21" s="312"/>
      <c r="G21" s="285">
        <f>'C-SH-8A ComPrParGas&amp;DLiv,99-21'!G21*42</f>
        <v>35.391455342465761</v>
      </c>
      <c r="H21" s="286">
        <f>'C-SH-8A ComPrParGas&amp;DLiv,99-21'!H21*42</f>
        <v>41.034701917808221</v>
      </c>
      <c r="I21" s="286">
        <f>'C-SH-8A ComPrParGas&amp;DLiv,99-21'!I21*42</f>
        <v>53.831250819672128</v>
      </c>
      <c r="J21" s="286">
        <f>'C-SH-8A ComPrParGas&amp;DLiv,99-21'!J21*42</f>
        <v>70.905355068493165</v>
      </c>
      <c r="K21" s="286">
        <f>'C-SH-8A ComPrParGas&amp;DLiv,99-21'!K21*42</f>
        <v>82.892926027397266</v>
      </c>
      <c r="L21" s="286">
        <f>'C-SH-8A ComPrParGas&amp;DLiv,99-21'!L21*42</f>
        <v>90.725972054794525</v>
      </c>
      <c r="M21" s="286">
        <f>'C-SH-8A ComPrParGas&amp;DLiv,99-21'!M21*42</f>
        <v>113.46080266980866</v>
      </c>
      <c r="N21" s="286">
        <f>'C-SH-8A ComPrParGas&amp;DLiv,99-21'!N21*42</f>
        <v>72.555068227681431</v>
      </c>
      <c r="O21" s="286">
        <f>+'C-SH-8A ComPrParGas&amp;DLiv,99-21'!O21*42</f>
        <v>91.747642191780812</v>
      </c>
      <c r="P21" s="286">
        <f>+'C-SH-8A ComPrParGas&amp;DLiv,99-21'!P21*42</f>
        <v>129.61199999999999</v>
      </c>
      <c r="Q21" s="286">
        <f>+'C-SH-8A ComPrParGas&amp;DLiv,99-21'!Q21*42</f>
        <v>128.268</v>
      </c>
      <c r="R21" s="286">
        <f>+'C-SH-8A ComPrParGas&amp;DLiv,99-21'!R21*42</f>
        <v>123.4716</v>
      </c>
      <c r="S21" s="286">
        <f>+'C-SH-8A ComPrParGas&amp;DLiv,99-21'!S21*42</f>
        <v>74.205600000000004</v>
      </c>
      <c r="T21" s="741">
        <f>+'C-SH-8A ComPrParGas&amp;DLiv,99-21'!T21*42</f>
        <v>74.205600000000004</v>
      </c>
      <c r="U21" s="754">
        <f>+'C-SH-8A ComPrParGas&amp;DLiv,99-21'!U21*42</f>
        <v>62.802600000000005</v>
      </c>
      <c r="V21" s="772">
        <f>+'C-SH-8A ComPrParGas&amp;DLiv,99-21'!V21*42</f>
        <v>74.403000000000006</v>
      </c>
      <c r="W21" s="791">
        <f>+'C-SH-8A ComPrParGas&amp;DLiv,99-21'!W21*42</f>
        <v>87.712800000000001</v>
      </c>
      <c r="X21" s="808">
        <f>+'C-SH-8A ComPrParGas&amp;DLiv,99-21'!X21*42</f>
        <v>78.94319999999999</v>
      </c>
      <c r="Y21" s="837">
        <f>+'C-SH-8A ComPrParGas&amp;DLiv,99-21'!Y21*42</f>
        <v>55.1922</v>
      </c>
      <c r="Z21" s="287">
        <f>+'C-SH-8A ComPrParGas&amp;DLiv,99-21'!Z21*42</f>
        <v>91.832999999999998</v>
      </c>
    </row>
    <row r="22" spans="2:37" ht="15" customHeight="1" thickBot="1" x14ac:dyDescent="0.3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2:37" ht="15" customHeight="1" thickBot="1" x14ac:dyDescent="0.3">
      <c r="B23" s="916" t="s">
        <v>39</v>
      </c>
      <c r="C23" s="853" t="s">
        <v>197</v>
      </c>
      <c r="D23" s="854"/>
      <c r="E23" s="855"/>
      <c r="F23" s="919" t="s">
        <v>198</v>
      </c>
      <c r="G23" s="920"/>
      <c r="H23" s="920"/>
      <c r="I23" s="920"/>
      <c r="J23" s="920"/>
      <c r="K23" s="920"/>
      <c r="L23" s="920"/>
      <c r="M23" s="920"/>
      <c r="N23" s="920"/>
      <c r="O23" s="920"/>
      <c r="P23" s="920"/>
      <c r="Q23" s="920"/>
      <c r="R23" s="920"/>
      <c r="S23" s="920"/>
      <c r="T23" s="920"/>
      <c r="U23" s="920"/>
      <c r="V23" s="920"/>
      <c r="W23" s="920"/>
      <c r="X23" s="920"/>
      <c r="Y23" s="920"/>
      <c r="Z23" s="921"/>
    </row>
    <row r="24" spans="2:37" ht="15" customHeight="1" thickBot="1" x14ac:dyDescent="0.3">
      <c r="B24" s="937"/>
      <c r="C24" s="603">
        <v>1999</v>
      </c>
      <c r="D24" s="588">
        <v>2000</v>
      </c>
      <c r="E24" s="552">
        <v>2001</v>
      </c>
      <c r="F24" s="682">
        <v>2001</v>
      </c>
      <c r="G24" s="683">
        <v>2002</v>
      </c>
      <c r="H24" s="683">
        <v>2003</v>
      </c>
      <c r="I24" s="683">
        <v>2004</v>
      </c>
      <c r="J24" s="684">
        <v>2005</v>
      </c>
      <c r="K24" s="684">
        <v>2006</v>
      </c>
      <c r="L24" s="684">
        <v>2007</v>
      </c>
      <c r="M24" s="684">
        <v>2008</v>
      </c>
      <c r="N24" s="684">
        <v>2009</v>
      </c>
      <c r="O24" s="684">
        <v>2010</v>
      </c>
      <c r="P24" s="684">
        <v>2011</v>
      </c>
      <c r="Q24" s="684">
        <v>2012</v>
      </c>
      <c r="R24" s="684">
        <v>2013</v>
      </c>
      <c r="S24" s="684">
        <v>2014</v>
      </c>
      <c r="T24" s="684">
        <v>2015</v>
      </c>
      <c r="U24" s="684">
        <v>2016</v>
      </c>
      <c r="V24" s="684">
        <v>2017</v>
      </c>
      <c r="W24" s="684">
        <v>2018</v>
      </c>
      <c r="X24" s="684">
        <v>2019</v>
      </c>
      <c r="Y24" s="684">
        <v>2020</v>
      </c>
      <c r="Z24" s="838">
        <v>2021</v>
      </c>
    </row>
    <row r="25" spans="2:37" ht="15" customHeight="1" x14ac:dyDescent="0.25">
      <c r="B25" s="599"/>
      <c r="C25" s="273"/>
      <c r="D25" s="277"/>
      <c r="E25" s="279"/>
      <c r="F25" s="273"/>
      <c r="G25" s="277"/>
      <c r="H25" s="297"/>
      <c r="I25" s="297"/>
      <c r="J25" s="297"/>
      <c r="K25" s="297"/>
      <c r="L25" s="297"/>
      <c r="M25" s="467"/>
      <c r="N25" s="467"/>
      <c r="O25" s="278"/>
      <c r="P25" s="278"/>
      <c r="Q25" s="278"/>
      <c r="R25" s="278"/>
      <c r="S25" s="722"/>
      <c r="T25" s="722"/>
      <c r="U25" s="722"/>
      <c r="V25" s="722"/>
      <c r="W25" s="722"/>
      <c r="X25" s="722"/>
      <c r="Y25" s="722"/>
      <c r="Z25" s="723"/>
    </row>
    <row r="26" spans="2:37" ht="15" customHeight="1" x14ac:dyDescent="0.25">
      <c r="B26" s="555" t="s">
        <v>144</v>
      </c>
      <c r="C26" s="274">
        <f>'C-SH-8A ComPrParGas&amp;DLiv,99-21'!C26*42</f>
        <v>19.07707741935484</v>
      </c>
      <c r="D26" s="280">
        <f>'C-SH-8A ComPrParGas&amp;DLiv,99-21'!D26*42</f>
        <v>34.317793548387101</v>
      </c>
      <c r="E26" s="282">
        <f>'C-SH-8A ComPrParGas&amp;DLiv,99-21'!E26*42</f>
        <v>40.467406451612902</v>
      </c>
      <c r="F26" s="274">
        <f>'C-SH-8A ComPrParGas&amp;DLiv,99-21'!F26*42</f>
        <v>41.784399999999998</v>
      </c>
      <c r="G26" s="280">
        <f>'C-SH-8A ComPrParGas&amp;DLiv,99-21'!G26*42</f>
        <v>28.833948387096772</v>
      </c>
      <c r="H26" s="281">
        <f>'C-SH-8A ComPrParGas&amp;DLiv,99-21'!H26*42</f>
        <v>41.522148387096777</v>
      </c>
      <c r="I26" s="281">
        <f>'C-SH-8A ComPrParGas&amp;DLiv,99-21'!I26*42</f>
        <v>46.363122580645161</v>
      </c>
      <c r="J26" s="281">
        <f>'C-SH-8A ComPrParGas&amp;DLiv,99-21'!J26*42</f>
        <v>54.107245161290329</v>
      </c>
      <c r="K26" s="281">
        <f>'C-SH-8A ComPrParGas&amp;DLiv,99-21'!K26*42</f>
        <v>80.387187096774184</v>
      </c>
      <c r="L26" s="281">
        <f>'C-SH-8A ComPrParGas&amp;DLiv,99-21'!L26*42</f>
        <v>74.210070967741942</v>
      </c>
      <c r="M26" s="281">
        <f>'C-SH-8A ComPrParGas&amp;DLiv,99-21'!M26*42</f>
        <v>108.88459354838709</v>
      </c>
      <c r="N26" s="281">
        <f>'C-SH-8A ComPrParGas&amp;DLiv,99-21'!N26*42</f>
        <v>50.302722580645167</v>
      </c>
      <c r="O26" s="281">
        <f>+'C-SH-8A ComPrParGas&amp;DLiv,99-21'!O26*42</f>
        <v>91.574090322580645</v>
      </c>
      <c r="P26" s="281">
        <f>+'C-SH-8A ComPrParGas&amp;DLiv,99-21'!P26*42</f>
        <v>107.0706</v>
      </c>
      <c r="Q26" s="281">
        <f>+'C-SH-8A ComPrParGas&amp;DLiv,99-21'!Q26*42</f>
        <v>132.90760000000003</v>
      </c>
      <c r="R26" s="281">
        <f>+'C-SH-8A ComPrParGas&amp;DLiv,99-21'!R26*42</f>
        <v>131.16278909740905</v>
      </c>
      <c r="S26" s="281">
        <f>+'C-SH-8A ComPrParGas&amp;DLiv,99-21'!S26*42</f>
        <v>126.58800000000001</v>
      </c>
      <c r="T26" s="742">
        <f>+'C-SH-8A ComPrParGas&amp;DLiv,99-21'!T26*42</f>
        <v>72.0762</v>
      </c>
      <c r="U26" s="753">
        <f>+'C-SH-8A ComPrParGas&amp;DLiv,99-21'!U26*42</f>
        <v>61.22059999999999</v>
      </c>
      <c r="V26" s="771">
        <f>+'C-SH-8A ComPrParGas&amp;DLiv,99-21'!V26*42</f>
        <v>79.409399999999991</v>
      </c>
      <c r="W26" s="790">
        <f>+'C-SH-8A ComPrParGas&amp;DLiv,99-21'!W26*42</f>
        <v>87.221399999999988</v>
      </c>
      <c r="X26" s="807">
        <f>+'C-SH-8A ComPrParGas&amp;DLiv,99-21'!X26*42</f>
        <v>69.046600000000012</v>
      </c>
      <c r="Y26" s="836">
        <f>+'C-SH-8A ComPrParGas&amp;DLiv,99-21'!Y26*42</f>
        <v>83.624799999999993</v>
      </c>
      <c r="Z26" s="282">
        <f>+'C-SH-8A ComPrParGas&amp;DLiv,99-21'!Z26*42</f>
        <v>70.116200000000006</v>
      </c>
    </row>
    <row r="27" spans="2:37" ht="15" customHeight="1" x14ac:dyDescent="0.25">
      <c r="B27" s="555" t="s">
        <v>87</v>
      </c>
      <c r="C27" s="274">
        <f>'C-SH-8A ComPrParGas&amp;DLiv,99-21'!C27*42</f>
        <v>19.366199999999999</v>
      </c>
      <c r="D27" s="280">
        <f>'C-SH-8A ComPrParGas&amp;DLiv,99-21'!D27*42</f>
        <v>37.614910344827585</v>
      </c>
      <c r="E27" s="282">
        <f>'C-SH-8A ComPrParGas&amp;DLiv,99-21'!E27*42</f>
        <v>43.428000000000004</v>
      </c>
      <c r="F27" s="274">
        <f>'C-SH-8A ComPrParGas&amp;DLiv,99-21'!F27*42</f>
        <v>43.215899999999991</v>
      </c>
      <c r="G27" s="280">
        <f>'C-SH-8A ComPrParGas&amp;DLiv,99-21'!G27*42</f>
        <v>28.837499999999999</v>
      </c>
      <c r="H27" s="281">
        <f>'C-SH-8A ComPrParGas&amp;DLiv,99-21'!H27*42</f>
        <v>45.540300000000002</v>
      </c>
      <c r="I27" s="281">
        <f>'C-SH-8A ComPrParGas&amp;DLiv,99-21'!I27*42</f>
        <v>50.119324137931031</v>
      </c>
      <c r="J27" s="281">
        <f>'C-SH-8A ComPrParGas&amp;DLiv,99-21'!J27*42</f>
        <v>59.439299999999996</v>
      </c>
      <c r="K27" s="281">
        <f>'C-SH-8A ComPrParGas&amp;DLiv,99-21'!K27*42</f>
        <v>78.156300000000002</v>
      </c>
      <c r="L27" s="281">
        <f>'C-SH-8A ComPrParGas&amp;DLiv,99-21'!L27*42</f>
        <v>72.211650000000006</v>
      </c>
      <c r="M27" s="281">
        <f>'C-SH-8A ComPrParGas&amp;DLiv,99-21'!M27*42</f>
        <v>107.07972413793102</v>
      </c>
      <c r="N27" s="281">
        <f>'C-SH-8A ComPrParGas&amp;DLiv,99-21'!N27*42</f>
        <v>61.576349999999991</v>
      </c>
      <c r="O27" s="281">
        <f>+'C-SH-8A ComPrParGas&amp;DLiv,99-21'!O27*42</f>
        <v>89.514900000000011</v>
      </c>
      <c r="P27" s="281">
        <f>+'C-SH-8A ComPrParGas&amp;DLiv,99-21'!P27*42</f>
        <v>108.3789</v>
      </c>
      <c r="Q27" s="281">
        <f>+'C-SH-8A ComPrParGas&amp;DLiv,99-21'!Q27*42</f>
        <v>144.3288</v>
      </c>
      <c r="R27" s="281">
        <f>+'C-SH-8A ComPrParGas&amp;DLiv,99-21'!R27*42</f>
        <v>141.06071506104536</v>
      </c>
      <c r="S27" s="281">
        <f>+'C-SH-8A ComPrParGas&amp;DLiv,99-21'!S27*42</f>
        <v>129.51259999999999</v>
      </c>
      <c r="T27" s="742">
        <f>+'C-SH-8A ComPrParGas&amp;DLiv,99-21'!T27*42</f>
        <v>72.736999999999995</v>
      </c>
      <c r="U27" s="753">
        <f>+'C-SH-8A ComPrParGas&amp;DLiv,99-21'!U27*42</f>
        <v>55.158599999999993</v>
      </c>
      <c r="V27" s="771">
        <f>+'C-SH-8A ComPrParGas&amp;DLiv,99-21'!V27*42</f>
        <v>77.265299999999996</v>
      </c>
      <c r="W27" s="790">
        <f>+'C-SH-8A ComPrParGas&amp;DLiv,99-21'!W27*42</f>
        <v>90.717900000000014</v>
      </c>
      <c r="X27" s="807">
        <f>+'C-SH-8A ComPrParGas&amp;DLiv,99-21'!X27*42</f>
        <v>74.878999999999991</v>
      </c>
      <c r="Y27" s="836">
        <f>+'C-SH-8A ComPrParGas&amp;DLiv,99-21'!Y27*42</f>
        <v>78.860600000000005</v>
      </c>
      <c r="Z27" s="282">
        <f>+'C-SH-8A ComPrParGas&amp;DLiv,99-21'!Z27*42</f>
        <v>77.683199999999999</v>
      </c>
    </row>
    <row r="28" spans="2:37" ht="15" customHeight="1" x14ac:dyDescent="0.25">
      <c r="B28" s="555" t="s">
        <v>88</v>
      </c>
      <c r="C28" s="274">
        <f>'C-SH-8A ComPrParGas&amp;DLiv,99-21'!C28*42</f>
        <v>20.313096774193546</v>
      </c>
      <c r="D28" s="280">
        <f>'C-SH-8A ComPrParGas&amp;DLiv,99-21'!D28*42</f>
        <v>42.583935483870967</v>
      </c>
      <c r="E28" s="282">
        <f>'C-SH-8A ComPrParGas&amp;DLiv,99-21'!E28*42</f>
        <v>40.396954838709675</v>
      </c>
      <c r="F28" s="274">
        <f>'C-SH-8A ComPrParGas&amp;DLiv,99-21'!F28*42</f>
        <v>40.029793548387097</v>
      </c>
      <c r="G28" s="280">
        <f>'C-SH-8A ComPrParGas&amp;DLiv,99-21'!G28*42</f>
        <v>31.484419354838707</v>
      </c>
      <c r="H28" s="281">
        <f>'C-SH-8A ComPrParGas&amp;DLiv,99-21'!H28*42</f>
        <v>48.462445161290319</v>
      </c>
      <c r="I28" s="281">
        <f>'C-SH-8A ComPrParGas&amp;DLiv,99-21'!I28*42</f>
        <v>51.287148387096764</v>
      </c>
      <c r="J28" s="281">
        <f>'C-SH-8A ComPrParGas&amp;DLiv,99-21'!J28*42</f>
        <v>62.263103225806454</v>
      </c>
      <c r="K28" s="281">
        <f>'C-SH-8A ComPrParGas&amp;DLiv,99-21'!K28*42</f>
        <v>80.275819354838703</v>
      </c>
      <c r="L28" s="281">
        <f>'C-SH-8A ComPrParGas&amp;DLiv,99-21'!L28*42</f>
        <v>84.848670967741924</v>
      </c>
      <c r="M28" s="281">
        <f>'C-SH-8A ComPrParGas&amp;DLiv,99-21'!M28*42</f>
        <v>117.67993548387099</v>
      </c>
      <c r="N28" s="281">
        <f>'C-SH-8A ComPrParGas&amp;DLiv,99-21'!N28*42</f>
        <v>60.648135483870973</v>
      </c>
      <c r="O28" s="281">
        <f>+'C-SH-8A ComPrParGas&amp;DLiv,99-21'!O28*42</f>
        <v>95.849148387096761</v>
      </c>
      <c r="P28" s="281">
        <f>+'C-SH-8A ComPrParGas&amp;DLiv,99-21'!P28*42</f>
        <v>124.66650000000001</v>
      </c>
      <c r="Q28" s="281">
        <f>+'C-SH-8A ComPrParGas&amp;DLiv,99-21'!Q28*42</f>
        <v>143.17100000000002</v>
      </c>
      <c r="R28" s="281">
        <f>+'C-SH-8A ComPrParGas&amp;DLiv,99-21'!R28*42</f>
        <v>148.77654042889907</v>
      </c>
      <c r="S28" s="281">
        <f>+'C-SH-8A ComPrParGas&amp;DLiv,99-21'!S28*42</f>
        <v>135.2526</v>
      </c>
      <c r="T28" s="742">
        <f>+'C-SH-8A ComPrParGas&amp;DLiv,99-21'!T28*42</f>
        <v>82.763800000000003</v>
      </c>
      <c r="U28" s="753">
        <f>+'C-SH-8A ComPrParGas&amp;DLiv,99-21'!U28*42</f>
        <v>60.369399999999999</v>
      </c>
      <c r="V28" s="771">
        <f>+'C-SH-8A ComPrParGas&amp;DLiv,99-21'!V28*42</f>
        <v>75.47120000000001</v>
      </c>
      <c r="W28" s="790">
        <f>+'C-SH-8A ComPrParGas&amp;DLiv,99-21'!W28*42</f>
        <v>88.138400000000004</v>
      </c>
      <c r="X28" s="807">
        <f>+'C-SH-8A ComPrParGas&amp;DLiv,99-21'!X28*42</f>
        <v>86.501799999999989</v>
      </c>
      <c r="Y28" s="836">
        <f>+'C-SH-8A ComPrParGas&amp;DLiv,99-21'!Y28*42</f>
        <v>64.936199999999999</v>
      </c>
      <c r="Z28" s="282">
        <f>+'C-SH-8A ComPrParGas&amp;DLiv,99-21'!Z28*42</f>
        <v>88.8202</v>
      </c>
    </row>
    <row r="29" spans="2:37" ht="15" customHeight="1" x14ac:dyDescent="0.25">
      <c r="B29" s="555" t="s">
        <v>145</v>
      </c>
      <c r="C29" s="274">
        <f>'C-SH-8A ComPrParGas&amp;DLiv,99-21'!C29*42</f>
        <v>25.587239999999998</v>
      </c>
      <c r="D29" s="280">
        <f>'C-SH-8A ComPrParGas&amp;DLiv,99-21'!D29*42</f>
        <v>39.67642</v>
      </c>
      <c r="E29" s="282">
        <f>'C-SH-8A ComPrParGas&amp;DLiv,99-21'!E29*42</f>
        <v>43.817200000000007</v>
      </c>
      <c r="F29" s="274">
        <f>'C-SH-8A ComPrParGas&amp;DLiv,99-21'!F29*42</f>
        <v>43.841000000000001</v>
      </c>
      <c r="G29" s="280">
        <f>'C-SH-8A ComPrParGas&amp;DLiv,99-21'!G29*42</f>
        <v>38.882339999999999</v>
      </c>
      <c r="H29" s="281">
        <f>'C-SH-8A ComPrParGas&amp;DLiv,99-21'!H29*42</f>
        <v>42.726039999999998</v>
      </c>
      <c r="I29" s="281">
        <f>'C-SH-8A ComPrParGas&amp;DLiv,99-21'!I29*42</f>
        <v>53.40916</v>
      </c>
      <c r="J29" s="281">
        <f>'C-SH-8A ComPrParGas&amp;DLiv,99-21'!J29*42</f>
        <v>73.955280000000002</v>
      </c>
      <c r="K29" s="281">
        <f>'C-SH-8A ComPrParGas&amp;DLiv,99-21'!K29*42</f>
        <v>98.845320000000001</v>
      </c>
      <c r="L29" s="281">
        <f>'C-SH-8A ComPrParGas&amp;DLiv,99-21'!L29*42</f>
        <v>102.37807999999998</v>
      </c>
      <c r="M29" s="281">
        <f>'C-SH-8A ComPrParGas&amp;DLiv,99-21'!M29*42</f>
        <v>124.229</v>
      </c>
      <c r="N29" s="281">
        <f>'C-SH-8A ComPrParGas&amp;DLiv,99-21'!N29*42</f>
        <v>67.016599999999997</v>
      </c>
      <c r="O29" s="281">
        <f>+'C-SH-8A ComPrParGas&amp;DLiv,99-21'!O29*42</f>
        <v>103.00009999999999</v>
      </c>
      <c r="P29" s="281">
        <f>+'C-SH-8A ComPrParGas&amp;DLiv,99-21'!P29*42</f>
        <v>136.84440000000001</v>
      </c>
      <c r="Q29" s="281">
        <f>+'C-SH-8A ComPrParGas&amp;DLiv,99-21'!Q29*42</f>
        <v>152.761</v>
      </c>
      <c r="R29" s="281">
        <f>+'C-SH-8A ComPrParGas&amp;DLiv,99-21'!R29*42</f>
        <v>141.49696023622946</v>
      </c>
      <c r="S29" s="281">
        <f>+'C-SH-8A ComPrParGas&amp;DLiv,99-21'!S29*42</f>
        <v>132.72</v>
      </c>
      <c r="T29" s="742">
        <f>+'C-SH-8A ComPrParGas&amp;DLiv,99-21'!T29*42</f>
        <v>87.475500000000011</v>
      </c>
      <c r="U29" s="753">
        <f>+'C-SH-8A ComPrParGas&amp;DLiv,99-21'!U29*42</f>
        <v>68.556600000000003</v>
      </c>
      <c r="V29" s="771">
        <f>+'C-SH-8A ComPrParGas&amp;DLiv,99-21'!V29*42</f>
        <v>78.642200000000003</v>
      </c>
      <c r="W29" s="790">
        <f>+'C-SH-8A ComPrParGas&amp;DLiv,99-21'!W29*42</f>
        <v>93.517200000000003</v>
      </c>
      <c r="X29" s="807">
        <f>+'C-SH-8A ComPrParGas&amp;DLiv,99-21'!X29*42</f>
        <v>96.191199999999981</v>
      </c>
      <c r="Y29" s="836">
        <f>+'C-SH-8A ComPrParGas&amp;DLiv,99-21'!Y29*42</f>
        <v>32.232900000000001</v>
      </c>
      <c r="Z29" s="282">
        <f>+'C-SH-8A ComPrParGas&amp;DLiv,99-21'!Z29*42</f>
        <v>91.809200000000004</v>
      </c>
    </row>
    <row r="30" spans="2:37" ht="15" customHeight="1" x14ac:dyDescent="0.25">
      <c r="B30" s="555" t="s">
        <v>90</v>
      </c>
      <c r="C30" s="274">
        <f>'C-SH-8A ComPrParGas&amp;DLiv,99-21'!C30*42</f>
        <v>27.426000000000002</v>
      </c>
      <c r="D30" s="280">
        <f>'C-SH-8A ComPrParGas&amp;DLiv,99-21'!D30*42</f>
        <v>41.340600000000002</v>
      </c>
      <c r="E30" s="282">
        <f>'C-SH-8A ComPrParGas&amp;DLiv,99-21'!E30*42</f>
        <v>48.291870967741943</v>
      </c>
      <c r="F30" s="274">
        <f>'C-SH-8A ComPrParGas&amp;DLiv,99-21'!F30*42</f>
        <v>48.46976129032258</v>
      </c>
      <c r="G30" s="280">
        <f>'C-SH-8A ComPrParGas&amp;DLiv,99-21'!G30*42</f>
        <v>38.519961290322584</v>
      </c>
      <c r="H30" s="281">
        <f>'C-SH-8A ComPrParGas&amp;DLiv,99-21'!H30*42</f>
        <v>39.325683870967744</v>
      </c>
      <c r="I30" s="281">
        <f>'C-SH-8A ComPrParGas&amp;DLiv,99-21'!I30*42</f>
        <v>58.333393548387093</v>
      </c>
      <c r="J30" s="281">
        <f>'C-SH-8A ComPrParGas&amp;DLiv,99-21'!J30*42</f>
        <v>70.302445161290322</v>
      </c>
      <c r="K30" s="281">
        <f>'C-SH-8A ComPrParGas&amp;DLiv,99-21'!K30*42</f>
        <v>105.18967741935484</v>
      </c>
      <c r="L30" s="281">
        <f>'C-SH-8A ComPrParGas&amp;DLiv,99-21'!L30*42</f>
        <v>107.74869677419355</v>
      </c>
      <c r="M30" s="281">
        <f>'C-SH-8A ComPrParGas&amp;DLiv,99-21'!M30*42</f>
        <v>138.67180645161287</v>
      </c>
      <c r="N30" s="281">
        <f>'C-SH-8A ComPrParGas&amp;DLiv,99-21'!N30*42</f>
        <v>73.644154838709667</v>
      </c>
      <c r="O30" s="281">
        <f>+'C-SH-8A ComPrParGas&amp;DLiv,99-21'!O30*42</f>
        <v>102.77250967741935</v>
      </c>
      <c r="P30" s="281">
        <f>+'C-SH-8A ComPrParGas&amp;DLiv,99-21'!P30*42</f>
        <v>142.52489999999997</v>
      </c>
      <c r="Q30" s="281">
        <f>+'C-SH-8A ComPrParGas&amp;DLiv,99-21'!Q30*42</f>
        <v>145.13379999999998</v>
      </c>
      <c r="R30" s="281">
        <f>+'C-SH-8A ComPrParGas&amp;DLiv,99-21'!R30*42</f>
        <v>139.71081198574115</v>
      </c>
      <c r="S30" s="281">
        <f>+'C-SH-8A ComPrParGas&amp;DLiv,99-21'!S30*42</f>
        <v>137.73759999999999</v>
      </c>
      <c r="T30" s="742">
        <f>+'C-SH-8A ComPrParGas&amp;DLiv,99-21'!T30*42</f>
        <v>99.276800000000009</v>
      </c>
      <c r="U30" s="753">
        <f>+'C-SH-8A ComPrParGas&amp;DLiv,99-21'!U30*42</f>
        <v>74.119500000000002</v>
      </c>
      <c r="V30" s="771">
        <f>+'C-SH-8A ComPrParGas&amp;DLiv,99-21'!V30*42</f>
        <v>78.255800000000008</v>
      </c>
      <c r="W30" s="790">
        <f>+'C-SH-8A ComPrParGas&amp;DLiv,99-21'!W30*42</f>
        <v>98.375200000000007</v>
      </c>
      <c r="X30" s="807">
        <f>+'C-SH-8A ComPrParGas&amp;DLiv,99-21'!X30*42</f>
        <v>95.030600000000007</v>
      </c>
      <c r="Y30" s="836">
        <f>+'C-SH-8A ComPrParGas&amp;DLiv,99-21'!Y30*42</f>
        <v>38.932600000000001</v>
      </c>
      <c r="Z30" s="282">
        <f>+'C-SH-8A ComPrParGas&amp;DLiv,99-21'!Z30*42</f>
        <v>94.694599999999994</v>
      </c>
    </row>
    <row r="31" spans="2:37" ht="15" customHeight="1" x14ac:dyDescent="0.25">
      <c r="B31" s="555" t="s">
        <v>91</v>
      </c>
      <c r="C31" s="274">
        <f>'C-SH-8A ComPrParGas&amp;DLiv,99-21'!C31*42</f>
        <v>26.017039999999998</v>
      </c>
      <c r="D31" s="280">
        <f>'C-SH-8A ComPrParGas&amp;DLiv,99-21'!D31*42</f>
        <v>45.426079999999999</v>
      </c>
      <c r="E31" s="282">
        <f>'C-SH-8A ComPrParGas&amp;DLiv,99-21'!E31*42</f>
        <v>43.099560000000004</v>
      </c>
      <c r="F31" s="274">
        <f>'C-SH-8A ComPrParGas&amp;DLiv,99-21'!F31*42</f>
        <v>42.887039999999999</v>
      </c>
      <c r="G31" s="280">
        <f>'C-SH-8A ComPrParGas&amp;DLiv,99-21'!G31*42</f>
        <v>37.459520000000005</v>
      </c>
      <c r="H31" s="281">
        <f>'C-SH-8A ComPrParGas&amp;DLiv,99-21'!H31*42</f>
        <v>40.030059999999999</v>
      </c>
      <c r="I31" s="281">
        <f>'C-SH-8A ComPrParGas&amp;DLiv,99-21'!I31*42</f>
        <v>60.169899999999998</v>
      </c>
      <c r="J31" s="281">
        <f>'C-SH-8A ComPrParGas&amp;DLiv,99-21'!J31*42</f>
        <v>68.827640000000002</v>
      </c>
      <c r="K31" s="281">
        <f>'C-SH-8A ComPrParGas&amp;DLiv,99-21'!K31*42</f>
        <v>109.52759999999999</v>
      </c>
      <c r="L31" s="281">
        <f>'C-SH-8A ComPrParGas&amp;DLiv,99-21'!L31*42</f>
        <v>106.74061999999999</v>
      </c>
      <c r="M31" s="281">
        <f>'C-SH-8A ComPrParGas&amp;DLiv,99-21'!M31*42</f>
        <v>146.93574000000001</v>
      </c>
      <c r="N31" s="281">
        <f>'C-SH-8A ComPrParGas&amp;DLiv,99-21'!N31*42</f>
        <v>87.431582258669863</v>
      </c>
      <c r="O31" s="281">
        <f>+'C-SH-8A ComPrParGas&amp;DLiv,99-21'!O31*42</f>
        <v>90.125</v>
      </c>
      <c r="P31" s="281">
        <f>+'C-SH-8A ComPrParGas&amp;DLiv,99-21'!P31*42</f>
        <v>128.40030000000002</v>
      </c>
      <c r="Q31" s="281">
        <f>+'C-SH-8A ComPrParGas&amp;DLiv,99-21'!Q31*42</f>
        <v>136.9606</v>
      </c>
      <c r="R31" s="281">
        <f>+'C-SH-8A ComPrParGas&amp;DLiv,99-21'!R31*42</f>
        <v>141.029</v>
      </c>
      <c r="S31" s="281">
        <f>+'C-SH-8A ComPrParGas&amp;DLiv,99-21'!S31*42</f>
        <v>139.55620000000002</v>
      </c>
      <c r="T31" s="742">
        <f>+'C-SH-8A ComPrParGas&amp;DLiv,99-21'!T31*42</f>
        <v>107.2064</v>
      </c>
      <c r="U31" s="753">
        <f>+'C-SH-8A ComPrParGas&amp;DLiv,99-21'!U31*42</f>
        <v>74.365200000000002</v>
      </c>
      <c r="V31" s="771">
        <f>+'C-SH-8A ComPrParGas&amp;DLiv,99-21'!V31*42</f>
        <v>76.438599999999994</v>
      </c>
      <c r="W31" s="790">
        <f>+'C-SH-8A ComPrParGas&amp;DLiv,99-21'!W31*42</f>
        <v>100.1294</v>
      </c>
      <c r="X31" s="807">
        <f>+'C-SH-8A ComPrParGas&amp;DLiv,99-21'!X31*42</f>
        <v>87.288600000000002</v>
      </c>
      <c r="Y31" s="836">
        <f>+'C-SH-8A ComPrParGas&amp;DLiv,99-21'!Y31*42</f>
        <v>50.843800000000002</v>
      </c>
      <c r="Z31" s="282">
        <f>+'C-SH-8A ComPrParGas&amp;DLiv,99-21'!Z31*42</f>
        <v>97.915999999999997</v>
      </c>
    </row>
    <row r="32" spans="2:37" ht="15" customHeight="1" x14ac:dyDescent="0.25">
      <c r="B32" s="555" t="s">
        <v>93</v>
      </c>
      <c r="C32" s="274">
        <f>'C-SH-8A ComPrParGas&amp;DLiv,99-21'!C32*42</f>
        <v>28.384006451612901</v>
      </c>
      <c r="D32" s="280">
        <f>'C-SH-8A ComPrParGas&amp;DLiv,99-21'!D32*42</f>
        <v>46.221948387096774</v>
      </c>
      <c r="E32" s="282">
        <f>'C-SH-8A ComPrParGas&amp;DLiv,99-21'!E32*42</f>
        <v>34.874903225806449</v>
      </c>
      <c r="F32" s="274">
        <f>'C-SH-8A ComPrParGas&amp;DLiv,99-21'!F32*42</f>
        <v>34.596754838709678</v>
      </c>
      <c r="G32" s="280">
        <f>'C-SH-8A ComPrParGas&amp;DLiv,99-21'!G32*42</f>
        <v>38.267554838709678</v>
      </c>
      <c r="H32" s="281">
        <f>'C-SH-8A ComPrParGas&amp;DLiv,99-21'!H32*42</f>
        <v>41.001483870967746</v>
      </c>
      <c r="I32" s="281">
        <f>'C-SH-8A ComPrParGas&amp;DLiv,99-21'!I32*42</f>
        <v>57.244780645161292</v>
      </c>
      <c r="J32" s="281">
        <f>'C-SH-8A ComPrParGas&amp;DLiv,99-21'!J32*42</f>
        <v>74.897516129032255</v>
      </c>
      <c r="K32" s="281">
        <f>'C-SH-8A ComPrParGas&amp;DLiv,99-21'!K32*42</f>
        <v>107.26894838709678</v>
      </c>
      <c r="L32" s="281">
        <f>'C-SH-8A ComPrParGas&amp;DLiv,99-21'!L32*42</f>
        <v>108.93892258064515</v>
      </c>
      <c r="M32" s="281">
        <f>'C-SH-8A ComPrParGas&amp;DLiv,99-21'!M32*42</f>
        <v>150.23115483870967</v>
      </c>
      <c r="N32" s="281">
        <f>'C-SH-8A ComPrParGas&amp;DLiv,99-21'!N32*42</f>
        <v>81.906975354243414</v>
      </c>
      <c r="O32" s="281">
        <f>+'C-SH-8A ComPrParGas&amp;DLiv,99-21'!O32*42</f>
        <v>93.633038709677407</v>
      </c>
      <c r="P32" s="281">
        <f>+'C-SH-8A ComPrParGas&amp;DLiv,99-21'!P32*42</f>
        <v>126.65939999999999</v>
      </c>
      <c r="Q32" s="281">
        <f>+'C-SH-8A ComPrParGas&amp;DLiv,99-21'!Q32*42</f>
        <v>133.30519999999999</v>
      </c>
      <c r="R32" s="281">
        <f>+'C-SH-8A ComPrParGas&amp;DLiv,99-21'!R32*42</f>
        <v>140.73079999999999</v>
      </c>
      <c r="S32" s="281">
        <f>+'C-SH-8A ComPrParGas&amp;DLiv,99-21'!S32*42</f>
        <v>138.96680000000003</v>
      </c>
      <c r="T32" s="742">
        <f>+'C-SH-8A ComPrParGas&amp;DLiv,99-21'!T32*42</f>
        <v>109.7936</v>
      </c>
      <c r="U32" s="753">
        <f>+'C-SH-8A ComPrParGas&amp;DLiv,99-21'!U32*42</f>
        <v>69.507899999999992</v>
      </c>
      <c r="V32" s="771">
        <f>+'C-SH-8A ComPrParGas&amp;DLiv,99-21'!V32*42</f>
        <v>71.745800000000003</v>
      </c>
      <c r="W32" s="790">
        <f>+'C-SH-8A ComPrParGas&amp;DLiv,99-21'!W32*42</f>
        <v>97.067600000000013</v>
      </c>
      <c r="X32" s="807">
        <f>+'C-SH-8A ComPrParGas&amp;DLiv,99-21'!X32*42</f>
        <v>90.176800000000014</v>
      </c>
      <c r="Y32" s="836">
        <f>+'C-SH-8A ComPrParGas&amp;DLiv,99-21'!Y32*42</f>
        <v>58.843400000000003</v>
      </c>
      <c r="Z32" s="282">
        <f>+'C-SH-8A ComPrParGas&amp;DLiv,99-21'!Z32*42</f>
        <v>102.8356</v>
      </c>
    </row>
    <row r="33" spans="2:26" ht="15" customHeight="1" x14ac:dyDescent="0.25">
      <c r="B33" s="555" t="s">
        <v>94</v>
      </c>
      <c r="C33" s="274">
        <f>'C-SH-8A ComPrParGas&amp;DLiv,99-21'!C33*42</f>
        <v>31.094767741935485</v>
      </c>
      <c r="D33" s="280">
        <f>'C-SH-8A ComPrParGas&amp;DLiv,99-21'!D33*42</f>
        <v>41.133445161290318</v>
      </c>
      <c r="E33" s="282">
        <f>'C-SH-8A ComPrParGas&amp;DLiv,99-21'!E33*42</f>
        <v>36.385548387096776</v>
      </c>
      <c r="F33" s="274">
        <f>'C-SH-8A ComPrParGas&amp;DLiv,99-21'!F33*42</f>
        <v>36.373625806451606</v>
      </c>
      <c r="G33" s="280">
        <f>'C-SH-8A ComPrParGas&amp;DLiv,99-21'!G33*42</f>
        <v>38.316058064516128</v>
      </c>
      <c r="H33" s="281">
        <f>'C-SH-8A ComPrParGas&amp;DLiv,99-21'!H33*42</f>
        <v>44.942980645161292</v>
      </c>
      <c r="I33" s="281">
        <f>'C-SH-8A ComPrParGas&amp;DLiv,99-21'!I33*42</f>
        <v>57.743496774193545</v>
      </c>
      <c r="J33" s="281">
        <f>'C-SH-8A ComPrParGas&amp;DLiv,99-21'!J33*42</f>
        <v>83.076677419354823</v>
      </c>
      <c r="K33" s="281">
        <f>'C-SH-8A ComPrParGas&amp;DLiv,99-21'!K33*42</f>
        <v>113.71283225806451</v>
      </c>
      <c r="L33" s="281">
        <f>'C-SH-8A ComPrParGas&amp;DLiv,99-21'!L33*42</f>
        <v>99.884399999999999</v>
      </c>
      <c r="M33" s="281">
        <f>'C-SH-8A ComPrParGas&amp;DLiv,99-21'!M33*42</f>
        <v>138.3481841000708</v>
      </c>
      <c r="N33" s="281">
        <f>'C-SH-8A ComPrParGas&amp;DLiv,99-21'!N33*42</f>
        <v>86.274638709677419</v>
      </c>
      <c r="O33" s="281">
        <f>+'C-SH-8A ComPrParGas&amp;DLiv,99-21'!O33*42</f>
        <v>93.058587096774204</v>
      </c>
      <c r="P33" s="281">
        <f>+'C-SH-8A ComPrParGas&amp;DLiv,99-21'!P33*42</f>
        <v>128.56200000000001</v>
      </c>
      <c r="Q33" s="281">
        <f>+'C-SH-8A ComPrParGas&amp;DLiv,99-21'!Q33*42</f>
        <v>142.09091817390805</v>
      </c>
      <c r="R33" s="281">
        <f>+'C-SH-8A ComPrParGas&amp;DLiv,99-21'!R33*42</f>
        <v>143.54759999999999</v>
      </c>
      <c r="S33" s="281">
        <f>+'C-SH-8A ComPrParGas&amp;DLiv,99-21'!S33*42</f>
        <v>130.2406</v>
      </c>
      <c r="T33" s="742">
        <f>+'C-SH-8A ComPrParGas&amp;DLiv,99-21'!T33*42</f>
        <v>99.433599999999998</v>
      </c>
      <c r="U33" s="753">
        <f>+'C-SH-8A ComPrParGas&amp;DLiv,99-21'!U33*42</f>
        <v>66.476200000000006</v>
      </c>
      <c r="V33" s="771">
        <f>+'C-SH-8A ComPrParGas&amp;DLiv,99-21'!V33*42</f>
        <v>78.955799999999996</v>
      </c>
      <c r="W33" s="790">
        <f>+'C-SH-8A ComPrParGas&amp;DLiv,99-21'!W33*42</f>
        <v>96.630449999999996</v>
      </c>
      <c r="X33" s="807">
        <f>+'C-SH-8A ComPrParGas&amp;DLiv,99-21'!X33*42</f>
        <v>84.786799999999985</v>
      </c>
      <c r="Y33" s="836">
        <f>+'C-SH-8A ComPrParGas&amp;DLiv,99-21'!Y33*42</f>
        <v>58.777599999999993</v>
      </c>
      <c r="Z33" s="282">
        <f>+'C-SH-8A ComPrParGas&amp;DLiv,99-21'!Z33*42</f>
        <v>103.71899999999999</v>
      </c>
    </row>
    <row r="34" spans="2:26" ht="15" customHeight="1" x14ac:dyDescent="0.25">
      <c r="B34" s="555" t="s">
        <v>101</v>
      </c>
      <c r="C34" s="274">
        <f>'C-SH-8A ComPrParGas&amp;DLiv,99-21'!C34*42</f>
        <v>32.574640000000002</v>
      </c>
      <c r="D34" s="280">
        <f>'C-SH-8A ComPrParGas&amp;DLiv,99-21'!D34*42</f>
        <v>44.380279999999999</v>
      </c>
      <c r="E34" s="282">
        <f>'C-SH-8A ComPrParGas&amp;DLiv,99-21'!E34*42</f>
        <v>40.936140000000002</v>
      </c>
      <c r="F34" s="274">
        <f>'C-SH-8A ComPrParGas&amp;DLiv,99-21'!F34*42</f>
        <v>41.385540000000006</v>
      </c>
      <c r="G34" s="280">
        <f>'C-SH-8A ComPrParGas&amp;DLiv,99-21'!G34*42</f>
        <v>38.494120000000002</v>
      </c>
      <c r="H34" s="281">
        <f>'C-SH-8A ComPrParGas&amp;DLiv,99-21'!H34*42</f>
        <v>46.626580000000011</v>
      </c>
      <c r="I34" s="281">
        <f>'C-SH-8A ComPrParGas&amp;DLiv,99-21'!I34*42</f>
        <v>56.899360000000001</v>
      </c>
      <c r="J34" s="281">
        <f>'C-SH-8A ComPrParGas&amp;DLiv,99-21'!J34*42</f>
        <v>95.525919999999985</v>
      </c>
      <c r="K34" s="281">
        <f>'C-SH-8A ComPrParGas&amp;DLiv,99-21'!K34*42</f>
        <v>86.801680000000005</v>
      </c>
      <c r="L34" s="281">
        <f>'C-SH-8A ComPrParGas&amp;DLiv,99-21'!L34*42</f>
        <v>98.070279999999997</v>
      </c>
      <c r="M34" s="281">
        <f>'C-SH-8A ComPrParGas&amp;DLiv,99-21'!M34*42</f>
        <v>143.91230685092609</v>
      </c>
      <c r="N34" s="281">
        <f>'C-SH-8A ComPrParGas&amp;DLiv,99-21'!N34*42</f>
        <v>84.529200000000003</v>
      </c>
      <c r="O34" s="281">
        <f>+'C-SH-8A ComPrParGas&amp;DLiv,99-21'!O34*42</f>
        <v>88.628399999999999</v>
      </c>
      <c r="P34" s="281">
        <f>+'C-SH-8A ComPrParGas&amp;DLiv,99-21'!P34*42</f>
        <v>125.92999999999999</v>
      </c>
      <c r="Q34" s="281">
        <f>+'C-SH-8A ComPrParGas&amp;DLiv,99-21'!Q34*42</f>
        <v>150.79405005920484</v>
      </c>
      <c r="R34" s="281">
        <f>+'C-SH-8A ComPrParGas&amp;DLiv,99-21'!R34*42</f>
        <v>136.50700000000001</v>
      </c>
      <c r="S34" s="281">
        <f>+'C-SH-8A ComPrParGas&amp;DLiv,99-21'!S34*42</f>
        <v>129.35300000000001</v>
      </c>
      <c r="T34" s="742">
        <f>+'C-SH-8A ComPrParGas&amp;DLiv,99-21'!T34*42</f>
        <v>80.15140000000001</v>
      </c>
      <c r="U34" s="753">
        <f>+'C-SH-8A ComPrParGas&amp;DLiv,99-21'!U34*42</f>
        <v>70.261800000000008</v>
      </c>
      <c r="V34" s="771">
        <f>+'C-SH-8A ComPrParGas&amp;DLiv,99-21'!V34*42</f>
        <v>88.393200000000007</v>
      </c>
      <c r="W34" s="790">
        <f>+'C-SH-8A ComPrParGas&amp;DLiv,99-21'!W34*42</f>
        <v>96.142200000000003</v>
      </c>
      <c r="X34" s="807">
        <f>+'C-SH-8A ComPrParGas&amp;DLiv,99-21'!X34*42</f>
        <v>82.009199999999993</v>
      </c>
      <c r="Y34" s="836">
        <f>+'C-SH-8A ComPrParGas&amp;DLiv,99-21'!Y34*42</f>
        <v>59.899000000000008</v>
      </c>
      <c r="Z34" s="282">
        <f>+'C-SH-8A ComPrParGas&amp;DLiv,99-21'!Z34*42</f>
        <v>101.96900000000001</v>
      </c>
    </row>
    <row r="35" spans="2:26" ht="15" customHeight="1" x14ac:dyDescent="0.25">
      <c r="B35" s="555" t="s">
        <v>95</v>
      </c>
      <c r="C35" s="274">
        <f>'C-SH-8A ComPrParGas&amp;DLiv,99-21'!C35*42</f>
        <v>33.309522580645158</v>
      </c>
      <c r="D35" s="280">
        <f>'C-SH-8A ComPrParGas&amp;DLiv,99-21'!D35*42</f>
        <v>43.220303225806454</v>
      </c>
      <c r="E35" s="282">
        <f>'C-SH-8A ComPrParGas&amp;DLiv,99-21'!E35*42</f>
        <v>33.50827741935484</v>
      </c>
      <c r="F35" s="274">
        <f>'C-SH-8A ComPrParGas&amp;DLiv,99-21'!F35*42</f>
        <v>33.778974193548386</v>
      </c>
      <c r="G35" s="280">
        <f>'C-SH-8A ComPrParGas&amp;DLiv,99-21'!G35*42</f>
        <v>40.561025806451617</v>
      </c>
      <c r="H35" s="281">
        <f>'C-SH-8A ComPrParGas&amp;DLiv,99-21'!H35*42</f>
        <v>41.494238709677425</v>
      </c>
      <c r="I35" s="281">
        <f>'C-SH-8A ComPrParGas&amp;DLiv,99-21'!I35*42</f>
        <v>62.781870967741945</v>
      </c>
      <c r="J35" s="281">
        <f>'C-SH-8A ComPrParGas&amp;DLiv,99-21'!J35*42</f>
        <v>105.72226451612904</v>
      </c>
      <c r="K35" s="281">
        <f>'C-SH-8A ComPrParGas&amp;DLiv,99-21'!K35*42</f>
        <v>75.386477419354847</v>
      </c>
      <c r="L35" s="281">
        <f>'C-SH-8A ComPrParGas&amp;DLiv,99-21'!L35*42</f>
        <v>97.068503225806467</v>
      </c>
      <c r="M35" s="281">
        <f>'C-SH-8A ComPrParGas&amp;DLiv,99-21'!M35*42</f>
        <v>118.62791612903223</v>
      </c>
      <c r="N35" s="281">
        <f>'C-SH-8A ComPrParGas&amp;DLiv,99-21'!N35*42</f>
        <v>82.816277419354833</v>
      </c>
      <c r="O35" s="281">
        <f>+'C-SH-8A ComPrParGas&amp;DLiv,99-21'!O35*42</f>
        <v>94.521812903225808</v>
      </c>
      <c r="P35" s="281">
        <f>+'C-SH-8A ComPrParGas&amp;DLiv,99-21'!P35*42</f>
        <v>118.85580000000002</v>
      </c>
      <c r="Q35" s="281">
        <f>+'C-SH-8A ComPrParGas&amp;DLiv,99-21'!Q35*42</f>
        <v>148.56927256355436</v>
      </c>
      <c r="R35" s="281">
        <f>+'C-SH-8A ComPrParGas&amp;DLiv,99-21'!R35*42</f>
        <v>123.91127651486441</v>
      </c>
      <c r="S35" s="281">
        <f>+'C-SH-8A ComPrParGas&amp;DLiv,99-21'!S35*42</f>
        <v>124.75679999999998</v>
      </c>
      <c r="T35" s="742">
        <f>+'C-SH-8A ComPrParGas&amp;DLiv,99-21'!T35*42</f>
        <v>70.099399999999989</v>
      </c>
      <c r="U35" s="753">
        <f>+'C-SH-8A ComPrParGas&amp;DLiv,99-21'!U35*42</f>
        <v>73.677800000000005</v>
      </c>
      <c r="V35" s="771">
        <f>+'C-SH-8A ComPrParGas&amp;DLiv,99-21'!V35*42</f>
        <v>82.80019999999999</v>
      </c>
      <c r="W35" s="790">
        <f>+'C-SH-8A ComPrParGas&amp;DLiv,99-21'!W35*42</f>
        <v>98.788199999999989</v>
      </c>
      <c r="X35" s="807">
        <f>+'C-SH-8A ComPrParGas&amp;DLiv,99-21'!X35*42</f>
        <v>84.225400000000008</v>
      </c>
      <c r="Y35" s="836">
        <f>+'C-SH-8A ComPrParGas&amp;DLiv,99-21'!Y35*42</f>
        <v>58.778999999999996</v>
      </c>
      <c r="Z35" s="282">
        <f>+'C-SH-8A ComPrParGas&amp;DLiv,99-21'!Z35*42</f>
        <v>106.16060000000002</v>
      </c>
    </row>
    <row r="36" spans="2:26" ht="15" customHeight="1" x14ac:dyDescent="0.25">
      <c r="B36" s="555" t="s">
        <v>96</v>
      </c>
      <c r="C36" s="274">
        <f>'C-SH-8A ComPrParGas&amp;DLiv,99-21'!C36*42</f>
        <v>32.202800000000003</v>
      </c>
      <c r="D36" s="280">
        <f>'C-SH-8A ComPrParGas&amp;DLiv,99-21'!D36*42</f>
        <v>43.168579999999999</v>
      </c>
      <c r="E36" s="282">
        <f>'C-SH-8A ComPrParGas&amp;DLiv,99-21'!E36*42</f>
        <v>28.333200000000005</v>
      </c>
      <c r="F36" s="274">
        <f>'C-SH-8A ComPrParGas&amp;DLiv,99-21'!F36*42</f>
        <v>28.452480000000001</v>
      </c>
      <c r="G36" s="280">
        <f>'C-SH-8A ComPrParGas&amp;DLiv,99-21'!G36*42</f>
        <v>39.929259999999999</v>
      </c>
      <c r="H36" s="281">
        <f>'C-SH-8A ComPrParGas&amp;DLiv,99-21'!H36*42</f>
        <v>41.55536</v>
      </c>
      <c r="I36" s="281">
        <f>'C-SH-8A ComPrParGas&amp;DLiv,99-21'!I36*42</f>
        <v>60.95488000000001</v>
      </c>
      <c r="J36" s="281">
        <f>'C-SH-8A ComPrParGas&amp;DLiv,99-21'!J36*42</f>
        <v>74.658079999999998</v>
      </c>
      <c r="K36" s="281">
        <f>'C-SH-8A ComPrParGas&amp;DLiv,99-21'!K36*42</f>
        <v>76.692559999999986</v>
      </c>
      <c r="L36" s="281">
        <f>'C-SH-8A ComPrParGas&amp;DLiv,99-21'!L36*42</f>
        <v>108.23931999999999</v>
      </c>
      <c r="M36" s="281">
        <f>'C-SH-8A ComPrParGas&amp;DLiv,99-21'!M36*42</f>
        <v>71.347079999999991</v>
      </c>
      <c r="N36" s="281">
        <f>'C-SH-8A ComPrParGas&amp;DLiv,99-21'!N36*42</f>
        <v>89.904080000000008</v>
      </c>
      <c r="O36" s="281">
        <f>+'C-SH-8A ComPrParGas&amp;DLiv,99-21'!O36*42</f>
        <v>98.419020000000003</v>
      </c>
      <c r="P36" s="281">
        <f>+'C-SH-8A ComPrParGas&amp;DLiv,99-21'!P36*42</f>
        <v>118.0284</v>
      </c>
      <c r="Q36" s="281">
        <f>+'C-SH-8A ComPrParGas&amp;DLiv,99-21'!Q36*42</f>
        <v>123.22830173965902</v>
      </c>
      <c r="R36" s="281">
        <f>+'C-SH-8A ComPrParGas&amp;DLiv,99-21'!R36*42</f>
        <v>119.7882</v>
      </c>
      <c r="S36" s="281">
        <f>+'C-SH-8A ComPrParGas&amp;DLiv,99-21'!S36*42</f>
        <v>107.15600000000001</v>
      </c>
      <c r="T36" s="742">
        <f>+'C-SH-8A ComPrParGas&amp;DLiv,99-21'!T36*42</f>
        <v>67.543000000000006</v>
      </c>
      <c r="U36" s="753">
        <f>+'C-SH-8A ComPrParGas&amp;DLiv,99-21'!U36*42</f>
        <v>70.66640000000001</v>
      </c>
      <c r="V36" s="771">
        <f>+'C-SH-8A ComPrParGas&amp;DLiv,99-21'!V36*42</f>
        <v>84.079800000000006</v>
      </c>
      <c r="W36" s="790">
        <f>+'C-SH-8A ComPrParGas&amp;DLiv,99-21'!W36*42</f>
        <v>87.722600000000014</v>
      </c>
      <c r="X36" s="807">
        <f>+'C-SH-8A ComPrParGas&amp;DLiv,99-21'!X36*42</f>
        <v>83.395199999999988</v>
      </c>
      <c r="Y36" s="836">
        <f>+'C-SH-8A ComPrParGas&amp;DLiv,99-21'!Y36*42</f>
        <v>55.729799999999997</v>
      </c>
      <c r="Z36" s="282">
        <f>+'C-SH-8A ComPrParGas&amp;DLiv,99-21'!Z36*42</f>
        <v>112.48020000000001</v>
      </c>
    </row>
    <row r="37" spans="2:26" ht="15" customHeight="1" x14ac:dyDescent="0.25">
      <c r="B37" s="555" t="s">
        <v>97</v>
      </c>
      <c r="C37" s="274">
        <f>'C-SH-8A ComPrParGas&amp;DLiv,99-21'!C37*42</f>
        <v>35.080838709677423</v>
      </c>
      <c r="D37" s="280">
        <f>'C-SH-8A ComPrParGas&amp;DLiv,99-21'!D37*42</f>
        <v>40.364980645161296</v>
      </c>
      <c r="E37" s="282">
        <f>'C-SH-8A ComPrParGas&amp;DLiv,99-21'!E37*42</f>
        <v>26.030953846153846</v>
      </c>
      <c r="F37" s="274">
        <f>'C-SH-8A ComPrParGas&amp;DLiv,99-21'!F37*42</f>
        <v>26.314219354838706</v>
      </c>
      <c r="G37" s="280">
        <f>'C-SH-8A ComPrParGas&amp;DLiv,99-21'!G37*42</f>
        <v>36.01025806451613</v>
      </c>
      <c r="H37" s="281">
        <f>'C-SH-8A ComPrParGas&amp;DLiv,99-21'!H37*42</f>
        <v>41.104451612903226</v>
      </c>
      <c r="I37" s="281">
        <f>'C-SH-8A ComPrParGas&amp;DLiv,99-21'!I37*42</f>
        <v>54.133799999999994</v>
      </c>
      <c r="J37" s="281">
        <f>'C-SH-8A ComPrParGas&amp;DLiv,99-21'!J37*42</f>
        <v>72.648348387096775</v>
      </c>
      <c r="K37" s="281">
        <f>'C-SH-8A ComPrParGas&amp;DLiv,99-21'!K37*42</f>
        <v>79.443948387096768</v>
      </c>
      <c r="L37" s="281">
        <f>'C-SH-8A ComPrParGas&amp;DLiv,99-21'!L37*42</f>
        <v>104.35292903225807</v>
      </c>
      <c r="M37" s="281">
        <f>'C-SH-8A ComPrParGas&amp;DLiv,99-21'!M37*42</f>
        <v>53.459090322580643</v>
      </c>
      <c r="N37" s="281">
        <f>'C-SH-8A ComPrParGas&amp;DLiv,99-21'!N37*42</f>
        <v>87.617564479912502</v>
      </c>
      <c r="O37" s="281">
        <f>+'C-SH-8A ComPrParGas&amp;DLiv,99-21'!O37*42</f>
        <v>103.09049032258064</v>
      </c>
      <c r="P37" s="281">
        <f>+'C-SH-8A ComPrParGas&amp;DLiv,99-21'!P37*42</f>
        <v>112.52779999999998</v>
      </c>
      <c r="Q37" s="281">
        <f>+'C-SH-8A ComPrParGas&amp;DLiv,99-21'!Q37*42</f>
        <v>122.4537225249901</v>
      </c>
      <c r="R37" s="281">
        <f>+'C-SH-8A ComPrParGas&amp;DLiv,99-21'!R37*42</f>
        <v>125.62935</v>
      </c>
      <c r="S37" s="281">
        <f>+'C-SH-8A ComPrParGas&amp;DLiv,99-21'!S37*42</f>
        <v>82.341000000000008</v>
      </c>
      <c r="T37" s="742">
        <f>+'C-SH-8A ComPrParGas&amp;DLiv,99-21'!T37*42</f>
        <v>63.569800000000001</v>
      </c>
      <c r="U37" s="753">
        <f>+'C-SH-8A ComPrParGas&amp;DLiv,99-21'!U37*42</f>
        <v>72.484999999999999</v>
      </c>
      <c r="V37" s="771">
        <f>+'C-SH-8A ComPrParGas&amp;DLiv,99-21'!V37*42</f>
        <v>82.664400000000001</v>
      </c>
      <c r="W37" s="790">
        <f>+'C-SH-8A ComPrParGas&amp;DLiv,99-21'!W37*42</f>
        <v>75.240200000000002</v>
      </c>
      <c r="X37" s="807">
        <f>+'C-SH-8A ComPrParGas&amp;DLiv,99-21'!X37*42</f>
        <v>81.856600000000014</v>
      </c>
      <c r="Y37" s="836">
        <f>+'C-SH-8A ComPrParGas&amp;DLiv,99-21'!Y37*42</f>
        <v>62.857199999999999</v>
      </c>
      <c r="Z37" s="282">
        <f>+'C-SH-8A ComPrParGas&amp;DLiv,99-21'!Z37*42</f>
        <v>101.29700000000001</v>
      </c>
    </row>
    <row r="38" spans="2:26" ht="15" customHeight="1" thickBot="1" x14ac:dyDescent="0.3">
      <c r="B38" s="600"/>
      <c r="C38" s="288"/>
      <c r="D38" s="283"/>
      <c r="E38" s="291"/>
      <c r="F38" s="420"/>
      <c r="G38" s="421"/>
      <c r="H38" s="290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418"/>
    </row>
    <row r="39" spans="2:26" ht="15" customHeight="1" thickBot="1" x14ac:dyDescent="0.3">
      <c r="B39" s="602" t="s">
        <v>99</v>
      </c>
      <c r="C39" s="292">
        <f>'C-SH-8A ComPrParGas&amp;DLiv,99-21'!C39*42</f>
        <v>27.586163835616439</v>
      </c>
      <c r="D39" s="293">
        <f>'C-SH-8A ComPrParGas&amp;DLiv,99-21'!D39*42</f>
        <v>41.625809836065571</v>
      </c>
      <c r="E39" s="294">
        <f>'C-SH-8A ComPrParGas&amp;DLiv,99-21'!E39*42</f>
        <v>38.416793333333338</v>
      </c>
      <c r="F39" s="276">
        <f>'C-SH-8A ComPrParGas&amp;DLiv,99-21'!F39*42</f>
        <v>38.284384225352113</v>
      </c>
      <c r="G39" s="285">
        <f>'C-SH-8A ComPrParGas&amp;DLiv,99-21'!G39*42</f>
        <v>36.334786849315066</v>
      </c>
      <c r="H39" s="286">
        <f>'C-SH-8A ComPrParGas&amp;DLiv,99-21'!H39*42</f>
        <v>42.840345205479451</v>
      </c>
      <c r="I39" s="286">
        <f>'C-SH-8A ComPrParGas&amp;DLiv,99-21'!I39*42</f>
        <v>55.795014754098361</v>
      </c>
      <c r="J39" s="286">
        <f>'C-SH-8A ComPrParGas&amp;DLiv,99-21'!J39*42</f>
        <v>74.7037084931507</v>
      </c>
      <c r="K39" s="286">
        <f>'C-SH-8A ComPrParGas&amp;DLiv,99-21'!K39*42</f>
        <v>91.057541917808209</v>
      </c>
      <c r="L39" s="286">
        <f>'C-SH-8A ComPrParGas&amp;DLiv,99-21'!L39*42</f>
        <v>97.187378630136976</v>
      </c>
      <c r="M39" s="286">
        <f>'C-SH-8A ComPrParGas&amp;DLiv,99-21'!M39*42</f>
        <v>118.30879484325131</v>
      </c>
      <c r="N39" s="286">
        <f>'C-SH-8A ComPrParGas&amp;DLiv,99-21'!N39*42</f>
        <v>76.192071787997065</v>
      </c>
      <c r="O39" s="286">
        <f>+'C-SH-8A ComPrParGas&amp;DLiv,99-21'!O39*42</f>
        <v>95.400226849315061</v>
      </c>
      <c r="P39" s="286">
        <f>+'C-SH-8A ComPrParGas&amp;DLiv,99-21'!P39*42</f>
        <v>123.2028</v>
      </c>
      <c r="Q39" s="286">
        <f>+'C-SH-8A ComPrParGas&amp;DLiv,99-21'!Q39*42</f>
        <v>139.64160000000001</v>
      </c>
      <c r="R39" s="286">
        <f>+'C-SH-8A ComPrParGas&amp;DLiv,99-21'!R39*42</f>
        <v>136.11360000000002</v>
      </c>
      <c r="S39" s="286">
        <f>+'C-SH-8A ComPrParGas&amp;DLiv,99-21'!S39*42</f>
        <v>126.18060000000001</v>
      </c>
      <c r="T39" s="741">
        <f>+'C-SH-8A ComPrParGas&amp;DLiv,99-21'!T39*42</f>
        <v>84.344399999999993</v>
      </c>
      <c r="U39" s="754">
        <f>+'C-SH-8A ComPrParGas&amp;DLiv,99-21'!U39*42</f>
        <v>68.073599999999999</v>
      </c>
      <c r="V39" s="772">
        <f>+'C-SH-8A ComPrParGas&amp;DLiv,99-21'!V39*42</f>
        <v>79.510199999999998</v>
      </c>
      <c r="W39" s="791">
        <f>+'C-SH-8A ComPrParGas&amp;DLiv,99-21'!W39*42</f>
        <v>92.4756</v>
      </c>
      <c r="X39" s="808">
        <f>+'C-SH-8A ComPrParGas&amp;DLiv,99-21'!X39*42</f>
        <v>84.617400000000004</v>
      </c>
      <c r="Y39" s="837">
        <f>+'C-SH-8A ComPrParGas&amp;DLiv,99-21'!Y39*42</f>
        <v>58.695</v>
      </c>
      <c r="Z39" s="287">
        <f>+'C-SH-8A ComPrParGas&amp;DLiv,99-21'!Z39*42</f>
        <v>95.793600000000012</v>
      </c>
    </row>
    <row r="40" spans="2:26" ht="15" customHeight="1" thickBot="1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26" ht="15" customHeight="1" thickBot="1" x14ac:dyDescent="0.3">
      <c r="B41" s="916" t="s">
        <v>39</v>
      </c>
      <c r="C41" s="919" t="s">
        <v>123</v>
      </c>
      <c r="D41" s="920"/>
      <c r="E41" s="920"/>
      <c r="F41" s="920"/>
      <c r="G41" s="920"/>
      <c r="H41" s="920"/>
      <c r="I41" s="920"/>
      <c r="J41" s="920"/>
      <c r="K41" s="920"/>
      <c r="L41" s="920"/>
      <c r="M41" s="920"/>
      <c r="N41" s="920"/>
      <c r="O41" s="920"/>
      <c r="P41" s="920"/>
      <c r="Q41" s="920"/>
      <c r="R41" s="920"/>
      <c r="S41" s="920"/>
      <c r="T41" s="920"/>
      <c r="U41" s="920"/>
      <c r="V41" s="920"/>
      <c r="W41" s="920"/>
      <c r="X41" s="920"/>
      <c r="Y41" s="920"/>
      <c r="Z41" s="921"/>
    </row>
    <row r="42" spans="2:26" ht="15" customHeight="1" thickBot="1" x14ac:dyDescent="0.3">
      <c r="B42" s="937"/>
      <c r="C42" s="682">
        <v>1999</v>
      </c>
      <c r="D42" s="683">
        <v>2000</v>
      </c>
      <c r="E42" s="938">
        <v>2001</v>
      </c>
      <c r="F42" s="939"/>
      <c r="G42" s="684">
        <v>2002</v>
      </c>
      <c r="H42" s="684">
        <v>2003</v>
      </c>
      <c r="I42" s="684">
        <v>2004</v>
      </c>
      <c r="J42" s="684">
        <v>2005</v>
      </c>
      <c r="K42" s="684">
        <v>2006</v>
      </c>
      <c r="L42" s="684">
        <v>2007</v>
      </c>
      <c r="M42" s="684">
        <v>2008</v>
      </c>
      <c r="N42" s="684">
        <v>2009</v>
      </c>
      <c r="O42" s="684">
        <v>2010</v>
      </c>
      <c r="P42" s="684">
        <v>2011</v>
      </c>
      <c r="Q42" s="684">
        <v>2012</v>
      </c>
      <c r="R42" s="684">
        <v>2013</v>
      </c>
      <c r="S42" s="684">
        <v>2014</v>
      </c>
      <c r="T42" s="684">
        <v>2015</v>
      </c>
      <c r="U42" s="684">
        <v>2016</v>
      </c>
      <c r="V42" s="684">
        <v>2017</v>
      </c>
      <c r="W42" s="684">
        <v>2018</v>
      </c>
      <c r="X42" s="684">
        <v>2019</v>
      </c>
      <c r="Y42" s="684">
        <v>2020</v>
      </c>
      <c r="Z42" s="838">
        <v>2021</v>
      </c>
    </row>
    <row r="43" spans="2:26" ht="15" customHeight="1" x14ac:dyDescent="0.25">
      <c r="B43" s="599"/>
      <c r="C43" s="273"/>
      <c r="D43" s="277"/>
      <c r="E43" s="950"/>
      <c r="F43" s="950"/>
      <c r="G43" s="424"/>
      <c r="H43" s="424"/>
      <c r="I43" s="277"/>
      <c r="J43" s="278"/>
      <c r="K43" s="278"/>
      <c r="L43" s="278"/>
      <c r="M43" s="278"/>
      <c r="N43" s="278"/>
      <c r="O43" s="278"/>
      <c r="P43" s="278"/>
      <c r="Q43" s="278"/>
      <c r="R43" s="278"/>
      <c r="S43" s="722"/>
      <c r="T43" s="722"/>
      <c r="U43" s="722"/>
      <c r="V43" s="722"/>
      <c r="W43" s="722"/>
      <c r="X43" s="722"/>
      <c r="Y43" s="722"/>
      <c r="Z43" s="723"/>
    </row>
    <row r="44" spans="2:26" ht="15" customHeight="1" x14ac:dyDescent="0.25">
      <c r="B44" s="555" t="s">
        <v>144</v>
      </c>
      <c r="C44" s="274">
        <f>'C-SH-8A ComPrParGas&amp;DLiv,99-21'!C44*42</f>
        <v>18.124896774193548</v>
      </c>
      <c r="D44" s="280">
        <f>'C-SH-8A ComPrParGas&amp;DLiv,99-21'!D44*42</f>
        <v>33.346103225806452</v>
      </c>
      <c r="E44" s="948">
        <f>'C-SH-8A ComPrParGas&amp;DLiv,99-21'!E44*42</f>
        <v>40.26770322580645</v>
      </c>
      <c r="F44" s="949"/>
      <c r="G44" s="280">
        <f>'C-SH-8A ComPrParGas&amp;DLiv,99-21'!G44*42</f>
        <v>26.975516129032258</v>
      </c>
      <c r="H44" s="280">
        <f>'C-SH-8A ComPrParGas&amp;DLiv,99-21'!H44*42</f>
        <v>40.205651612903218</v>
      </c>
      <c r="I44" s="280">
        <f>'C-SH-8A ComPrParGas&amp;DLiv,99-21'!I44*42</f>
        <v>42.587458064516127</v>
      </c>
      <c r="J44" s="281">
        <f>'C-SH-8A ComPrParGas&amp;DLiv,99-21'!J44*42</f>
        <v>56.73996774193548</v>
      </c>
      <c r="K44" s="281">
        <f>'C-SH-8A ComPrParGas&amp;DLiv,99-21'!K44*42</f>
        <v>77.240574193548383</v>
      </c>
      <c r="L44" s="281">
        <f>'C-SH-8A ComPrParGas&amp;DLiv,99-21'!L44*42</f>
        <v>71.06291612903226</v>
      </c>
      <c r="M44" s="281">
        <f>'C-SH-8A ComPrParGas&amp;DLiv,99-21'!M44*42</f>
        <v>112.64156129032258</v>
      </c>
      <c r="N44" s="281">
        <f>'C-SH-8A ComPrParGas&amp;DLiv,99-21'!N44*42</f>
        <v>61.342219354838726</v>
      </c>
      <c r="O44" s="281">
        <f>+'C-SH-8A ComPrParGas&amp;DLiv,99-21'!O44*42</f>
        <v>90.295122580645156</v>
      </c>
      <c r="P44" s="281">
        <f>+'C-SH-8A ComPrParGas&amp;DLiv,99-21'!P44*42</f>
        <v>111.4113</v>
      </c>
      <c r="Q44" s="281">
        <f>+'C-SH-8A ComPrParGas&amp;DLiv,99-21'!Q44*42</f>
        <v>132.62269999999998</v>
      </c>
      <c r="R44" s="281">
        <f>+'C-SH-8A ComPrParGas&amp;DLiv,99-21'!R44*42</f>
        <v>132.94243966276426</v>
      </c>
      <c r="S44" s="281">
        <f>+'C-SH-8A ComPrParGas&amp;DLiv,99-21'!S44*42</f>
        <v>128.6019</v>
      </c>
      <c r="T44" s="742">
        <f>+'C-SH-8A ComPrParGas&amp;DLiv,99-21'!T44*42</f>
        <v>73.791199999999989</v>
      </c>
      <c r="U44" s="753">
        <f>+'C-SH-8A ComPrParGas&amp;DLiv,99-21'!U44*42</f>
        <v>49.284199999999998</v>
      </c>
      <c r="V44" s="771">
        <f>+'C-SH-8A ComPrParGas&amp;DLiv,99-21'!V44*42</f>
        <v>74.800600000000003</v>
      </c>
      <c r="W44" s="790">
        <f>+'C-SH-8A ComPrParGas&amp;DLiv,99-21'!W44*42</f>
        <v>89.434800000000024</v>
      </c>
      <c r="X44" s="807">
        <f>+'C-SH-8A ComPrParGas&amp;DLiv,99-21'!X44*42</f>
        <v>79.538200000000003</v>
      </c>
      <c r="Y44" s="836">
        <f>+'C-SH-8A ComPrParGas&amp;DLiv,99-21'!Y44*42</f>
        <v>85.771000000000001</v>
      </c>
      <c r="Z44" s="282">
        <f>+'C-SH-8A ComPrParGas&amp;DLiv,99-21'!Z44*42</f>
        <v>69.050799999999995</v>
      </c>
    </row>
    <row r="45" spans="2:26" ht="15" customHeight="1" x14ac:dyDescent="0.25">
      <c r="B45" s="555" t="s">
        <v>87</v>
      </c>
      <c r="C45" s="274">
        <f>'C-SH-8A ComPrParGas&amp;DLiv,99-21'!C45*42</f>
        <v>18.144300000000001</v>
      </c>
      <c r="D45" s="280">
        <f>'C-SH-8A ComPrParGas&amp;DLiv,99-21'!D45*42</f>
        <v>37.288758620689656</v>
      </c>
      <c r="E45" s="948">
        <f>'C-SH-8A ComPrParGas&amp;DLiv,99-21'!E45*42</f>
        <v>40.707450000000001</v>
      </c>
      <c r="F45" s="949"/>
      <c r="G45" s="280">
        <f>'C-SH-8A ComPrParGas&amp;DLiv,99-21'!G45*42</f>
        <v>26.424299999999999</v>
      </c>
      <c r="H45" s="280">
        <f>'C-SH-8A ComPrParGas&amp;DLiv,99-21'!H45*42</f>
        <v>44.358750000000001</v>
      </c>
      <c r="I45" s="280">
        <f>'C-SH-8A ComPrParGas&amp;DLiv,99-21'!I45*42</f>
        <v>43.525468965517241</v>
      </c>
      <c r="J45" s="281">
        <f>'C-SH-8A ComPrParGas&amp;DLiv,99-21'!J45*42</f>
        <v>58.706100000000006</v>
      </c>
      <c r="K45" s="281">
        <f>'C-SH-8A ComPrParGas&amp;DLiv,99-21'!K45*42</f>
        <v>77.196899999999999</v>
      </c>
      <c r="L45" s="281">
        <f>'C-SH-8A ComPrParGas&amp;DLiv,99-21'!L45*42</f>
        <v>71.08605</v>
      </c>
      <c r="M45" s="281">
        <f>'C-SH-8A ComPrParGas&amp;DLiv,99-21'!M45*42</f>
        <v>110.10850344827587</v>
      </c>
      <c r="N45" s="281">
        <f>'C-SH-8A ComPrParGas&amp;DLiv,99-21'!N45*42</f>
        <v>60.419400000000003</v>
      </c>
      <c r="O45" s="281">
        <f>+'C-SH-8A ComPrParGas&amp;DLiv,99-21'!O45*42</f>
        <v>85.821299999999994</v>
      </c>
      <c r="P45" s="281">
        <f>+'C-SH-8A ComPrParGas&amp;DLiv,99-21'!P45*42</f>
        <v>117.4131</v>
      </c>
      <c r="Q45" s="281">
        <f>+'C-SH-8A ComPrParGas&amp;DLiv,99-21'!Q45*42</f>
        <v>137.64939999999999</v>
      </c>
      <c r="R45" s="281">
        <f>+'C-SH-8A ComPrParGas&amp;DLiv,99-21'!R45*42</f>
        <v>138.47768627145609</v>
      </c>
      <c r="S45" s="281">
        <f>+'C-SH-8A ComPrParGas&amp;DLiv,99-21'!S45*42</f>
        <v>128.82659999999998</v>
      </c>
      <c r="T45" s="742">
        <f>+'C-SH-8A ComPrParGas&amp;DLiv,99-21'!T45*42</f>
        <v>74.2042</v>
      </c>
      <c r="U45" s="753">
        <f>+'C-SH-8A ComPrParGas&amp;DLiv,99-21'!U45*42</f>
        <v>46.5458</v>
      </c>
      <c r="V45" s="771">
        <f>+'C-SH-8A ComPrParGas&amp;DLiv,99-21'!V45*42</f>
        <v>73.657499999999999</v>
      </c>
      <c r="W45" s="790">
        <f>+'C-SH-8A ComPrParGas&amp;DLiv,99-21'!W45*42</f>
        <v>89.760300000000001</v>
      </c>
      <c r="X45" s="807">
        <f>+'C-SH-8A ComPrParGas&amp;DLiv,99-21'!X45*42</f>
        <v>85.658999999999992</v>
      </c>
      <c r="Y45" s="836">
        <f>+'C-SH-8A ComPrParGas&amp;DLiv,99-21'!Y45*42</f>
        <v>75.938800000000001</v>
      </c>
      <c r="Z45" s="282">
        <f>+'C-SH-8A ComPrParGas&amp;DLiv,99-21'!Z45*42</f>
        <v>75.677000000000007</v>
      </c>
    </row>
    <row r="46" spans="2:26" ht="15" customHeight="1" x14ac:dyDescent="0.25">
      <c r="B46" s="555" t="s">
        <v>88</v>
      </c>
      <c r="C46" s="274">
        <f>'C-SH-8A ComPrParGas&amp;DLiv,99-21'!C46*42</f>
        <v>18.118664516129034</v>
      </c>
      <c r="D46" s="280">
        <f>'C-SH-8A ComPrParGas&amp;DLiv,99-21'!D46*42</f>
        <v>36.807309677419354</v>
      </c>
      <c r="E46" s="948">
        <f>'C-SH-8A ComPrParGas&amp;DLiv,99-21'!E46*42</f>
        <v>36.060522580645156</v>
      </c>
      <c r="F46" s="949"/>
      <c r="G46" s="280">
        <f>'C-SH-8A ComPrParGas&amp;DLiv,99-21'!G46*42</f>
        <v>28.24310322580645</v>
      </c>
      <c r="H46" s="280">
        <f>'C-SH-8A ComPrParGas&amp;DLiv,99-21'!H46*42</f>
        <v>48.309348387096769</v>
      </c>
      <c r="I46" s="280">
        <f>'C-SH-8A ComPrParGas&amp;DLiv,99-21'!I46*42</f>
        <v>42.500612903225807</v>
      </c>
      <c r="J46" s="281">
        <f>'C-SH-8A ComPrParGas&amp;DLiv,99-21'!J46*42</f>
        <v>65.133464516129024</v>
      </c>
      <c r="K46" s="281">
        <f>'C-SH-8A ComPrParGas&amp;DLiv,99-21'!K46*42</f>
        <v>76.82341935483872</v>
      </c>
      <c r="L46" s="281">
        <f>'C-SH-8A ComPrParGas&amp;DLiv,99-21'!L46*42</f>
        <v>76.07514193548387</v>
      </c>
      <c r="M46" s="281">
        <f>'C-SH-8A ComPrParGas&amp;DLiv,99-21'!M46*42</f>
        <v>124.65017419354837</v>
      </c>
      <c r="N46" s="281">
        <f>'C-SH-8A ComPrParGas&amp;DLiv,99-21'!N46*42</f>
        <v>54.271045161290331</v>
      </c>
      <c r="O46" s="281">
        <f>+'C-SH-8A ComPrParGas&amp;DLiv,99-21'!O46*42</f>
        <v>89.356625806451618</v>
      </c>
      <c r="P46" s="281">
        <f>+'C-SH-8A ComPrParGas&amp;DLiv,99-21'!P46*42</f>
        <v>130.5087</v>
      </c>
      <c r="Q46" s="281">
        <f>+'C-SH-8A ComPrParGas&amp;DLiv,99-21'!Q46*42</f>
        <v>140.63069999999999</v>
      </c>
      <c r="R46" s="281">
        <f>+'C-SH-8A ComPrParGas&amp;DLiv,99-21'!R46*42</f>
        <v>138.04363997092472</v>
      </c>
      <c r="S46" s="281">
        <f>+'C-SH-8A ComPrParGas&amp;DLiv,99-21'!S46*42</f>
        <v>130.27559999999997</v>
      </c>
      <c r="T46" s="742">
        <f>+'C-SH-8A ComPrParGas&amp;DLiv,99-21'!T46*42</f>
        <v>81.313400000000001</v>
      </c>
      <c r="U46" s="753">
        <f>+'C-SH-8A ComPrParGas&amp;DLiv,99-21'!U46*42</f>
        <v>52.295600000000007</v>
      </c>
      <c r="V46" s="771">
        <f>+'C-SH-8A ComPrParGas&amp;DLiv,99-21'!V46*42</f>
        <v>71.661799999999999</v>
      </c>
      <c r="W46" s="790">
        <f>+'C-SH-8A ComPrParGas&amp;DLiv,99-21'!W46*42</f>
        <v>86.111199999999997</v>
      </c>
      <c r="X46" s="807">
        <f>+'C-SH-8A ComPrParGas&amp;DLiv,99-21'!X46*42</f>
        <v>88.775400000000005</v>
      </c>
      <c r="Y46" s="836">
        <f>+'C-SH-8A ComPrParGas&amp;DLiv,99-21'!Y46*42</f>
        <v>63.653800000000004</v>
      </c>
      <c r="Z46" s="282">
        <f>+'C-SH-8A ComPrParGas&amp;DLiv,99-21'!Z46*42</f>
        <v>83.305599999999998</v>
      </c>
    </row>
    <row r="47" spans="2:26" ht="15" customHeight="1" x14ac:dyDescent="0.25">
      <c r="B47" s="555" t="s">
        <v>145</v>
      </c>
      <c r="C47" s="274">
        <f>'C-SH-8A ComPrParGas&amp;DLiv,99-21'!C47*42</f>
        <v>21.483699999999999</v>
      </c>
      <c r="D47" s="280">
        <f>'C-SH-8A ComPrParGas&amp;DLiv,99-21'!D47*42</f>
        <v>34.071519999999992</v>
      </c>
      <c r="E47" s="948">
        <f>'C-SH-8A ComPrParGas&amp;DLiv,99-21'!E47*42</f>
        <v>35.346640000000001</v>
      </c>
      <c r="F47" s="949"/>
      <c r="G47" s="280">
        <f>'C-SH-8A ComPrParGas&amp;DLiv,99-21'!G47*42</f>
        <v>31.887240000000006</v>
      </c>
      <c r="H47" s="280">
        <f>'C-SH-8A ComPrParGas&amp;DLiv,99-21'!H47*42</f>
        <v>36.228360000000002</v>
      </c>
      <c r="I47" s="280">
        <f>'C-SH-8A ComPrParGas&amp;DLiv,99-21'!I47*42</f>
        <v>41.546679999999995</v>
      </c>
      <c r="J47" s="281">
        <f>'C-SH-8A ComPrParGas&amp;DLiv,99-21'!J47*42</f>
        <v>70.201740000000001</v>
      </c>
      <c r="K47" s="281">
        <f>'C-SH-8A ComPrParGas&amp;DLiv,99-21'!K47*42</f>
        <v>83.069839999999999</v>
      </c>
      <c r="L47" s="281">
        <f>'C-SH-8A ComPrParGas&amp;DLiv,99-21'!L47*42</f>
        <v>80.593519999999998</v>
      </c>
      <c r="M47" s="281">
        <f>'C-SH-8A ComPrParGas&amp;DLiv,99-21'!M47*42</f>
        <v>132.24455999999998</v>
      </c>
      <c r="N47" s="281">
        <f>'C-SH-8A ComPrParGas&amp;DLiv,99-21'!N47*42</f>
        <v>59.897319999999993</v>
      </c>
      <c r="O47" s="281">
        <f>+'C-SH-8A ComPrParGas&amp;DLiv,99-21'!O47*42</f>
        <v>94.182199999999995</v>
      </c>
      <c r="P47" s="281">
        <f>+'C-SH-8A ComPrParGas&amp;DLiv,99-21'!P47*42</f>
        <v>137.38200000000001</v>
      </c>
      <c r="Q47" s="281">
        <f>+'C-SH-8A ComPrParGas&amp;DLiv,99-21'!Q47*42</f>
        <v>140.43120000000002</v>
      </c>
      <c r="R47" s="281">
        <f>+'C-SH-8A ComPrParGas&amp;DLiv,99-21'!R47*42</f>
        <v>131.86827100411804</v>
      </c>
      <c r="S47" s="281">
        <f>+'C-SH-8A ComPrParGas&amp;DLiv,99-21'!S47*42</f>
        <v>126.98279999999998</v>
      </c>
      <c r="T47" s="742">
        <f>+'C-SH-8A ComPrParGas&amp;DLiv,99-21'!T47*42</f>
        <v>78.968399999999988</v>
      </c>
      <c r="U47" s="753">
        <f>+'C-SH-8A ComPrParGas&amp;DLiv,99-21'!U47*42</f>
        <v>54.845000000000006</v>
      </c>
      <c r="V47" s="771">
        <f>+'C-SH-8A ComPrParGas&amp;DLiv,99-21'!V47*42</f>
        <v>72.0398</v>
      </c>
      <c r="W47" s="790">
        <f>+'C-SH-8A ComPrParGas&amp;DLiv,99-21'!W47*42</f>
        <v>90.067599999999999</v>
      </c>
      <c r="X47" s="807">
        <f>+'C-SH-8A ComPrParGas&amp;DLiv,99-21'!X47*42</f>
        <v>89.951400000000007</v>
      </c>
      <c r="Y47" s="836">
        <f>+'C-SH-8A ComPrParGas&amp;DLiv,99-21'!Y47*42</f>
        <v>45.096450000000004</v>
      </c>
      <c r="Z47" s="282">
        <f>+'C-SH-8A ComPrParGas&amp;DLiv,99-21'!Z47*42</f>
        <v>82.303200000000004</v>
      </c>
    </row>
    <row r="48" spans="2:26" ht="15" customHeight="1" x14ac:dyDescent="0.25">
      <c r="B48" s="555" t="s">
        <v>90</v>
      </c>
      <c r="C48" s="274">
        <f>'C-SH-8A ComPrParGas&amp;DLiv,99-21'!C48*42</f>
        <v>22.41038709677419</v>
      </c>
      <c r="D48" s="280">
        <f>'C-SH-8A ComPrParGas&amp;DLiv,99-21'!D48*42</f>
        <v>35.451387096774191</v>
      </c>
      <c r="E48" s="948">
        <f>'C-SH-8A ComPrParGas&amp;DLiv,99-21'!E48*42</f>
        <v>36.632941935483871</v>
      </c>
      <c r="F48" s="949"/>
      <c r="G48" s="280">
        <f>'C-SH-8A ComPrParGas&amp;DLiv,99-21'!G48*42</f>
        <v>32.23743870967742</v>
      </c>
      <c r="H48" s="280">
        <f>'C-SH-8A ComPrParGas&amp;DLiv,99-21'!H48*42</f>
        <v>33.948464516129036</v>
      </c>
      <c r="I48" s="280">
        <f>'C-SH-8A ComPrParGas&amp;DLiv,99-21'!I48*42</f>
        <v>43.803425806451614</v>
      </c>
      <c r="J48" s="281">
        <f>'C-SH-8A ComPrParGas&amp;DLiv,99-21'!J48*42</f>
        <v>64.988632258064513</v>
      </c>
      <c r="K48" s="281">
        <f>'C-SH-8A ComPrParGas&amp;DLiv,99-21'!K48*42</f>
        <v>89.633148387096753</v>
      </c>
      <c r="L48" s="281">
        <f>'C-SH-8A ComPrParGas&amp;DLiv,99-21'!L48*42</f>
        <v>83.303748387096789</v>
      </c>
      <c r="M48" s="281">
        <f>'C-SH-8A ComPrParGas&amp;DLiv,99-21'!M48*42</f>
        <v>147.12816774193547</v>
      </c>
      <c r="N48" s="281">
        <f>'C-SH-8A ComPrParGas&amp;DLiv,99-21'!N48*42</f>
        <v>61.694883870967743</v>
      </c>
      <c r="O48" s="281">
        <f>+'C-SH-8A ComPrParGas&amp;DLiv,99-21'!O48*42</f>
        <v>95.038006451612915</v>
      </c>
      <c r="P48" s="281">
        <f>+'C-SH-8A ComPrParGas&amp;DLiv,99-21'!P48*42</f>
        <v>134.0325</v>
      </c>
      <c r="Q48" s="281">
        <f>+'C-SH-8A ComPrParGas&amp;DLiv,99-21'!Q48*42</f>
        <v>132.29650000000001</v>
      </c>
      <c r="R48" s="281">
        <f>+'C-SH-8A ComPrParGas&amp;DLiv,99-21'!R48*42</f>
        <v>125.43126045447006</v>
      </c>
      <c r="S48" s="281">
        <f>+'C-SH-8A ComPrParGas&amp;DLiv,99-21'!S48*42</f>
        <v>128.7636</v>
      </c>
      <c r="T48" s="742">
        <f>+'C-SH-8A ComPrParGas&amp;DLiv,99-21'!T48*42</f>
        <v>85.7654</v>
      </c>
      <c r="U48" s="753">
        <f>+'C-SH-8A ComPrParGas&amp;DLiv,99-21'!U48*42</f>
        <v>62.774249999999995</v>
      </c>
      <c r="V48" s="771">
        <f>+'C-SH-8A ComPrParGas&amp;DLiv,99-21'!V48*42</f>
        <v>70.195999999999998</v>
      </c>
      <c r="W48" s="790">
        <f>+'C-SH-8A ComPrParGas&amp;DLiv,99-21'!W48*42</f>
        <v>96.415199999999999</v>
      </c>
      <c r="X48" s="807">
        <f>+'C-SH-8A ComPrParGas&amp;DLiv,99-21'!X48*42</f>
        <v>91.919799999999995</v>
      </c>
      <c r="Y48" s="836">
        <f>+'C-SH-8A ComPrParGas&amp;DLiv,99-21'!Y48*42</f>
        <v>39.613</v>
      </c>
      <c r="Z48" s="282">
        <f>+'C-SH-8A ComPrParGas&amp;DLiv,99-21'!Z48*42</f>
        <v>85.950199999999995</v>
      </c>
    </row>
    <row r="49" spans="2:26" ht="15" customHeight="1" x14ac:dyDescent="0.25">
      <c r="B49" s="555" t="s">
        <v>91</v>
      </c>
      <c r="C49" s="274">
        <f>'C-SH-8A ComPrParGas&amp;DLiv,99-21'!C49*42</f>
        <v>21.082599999999999</v>
      </c>
      <c r="D49" s="280">
        <f>'C-SH-8A ComPrParGas&amp;DLiv,99-21'!D49*42</f>
        <v>36.783880000000003</v>
      </c>
      <c r="E49" s="948">
        <f>'C-SH-8A ComPrParGas&amp;DLiv,99-21'!E49*42</f>
        <v>37.068220000000004</v>
      </c>
      <c r="F49" s="949"/>
      <c r="G49" s="280">
        <f>'C-SH-8A ComPrParGas&amp;DLiv,99-21'!G49*42</f>
        <v>32.271119999999996</v>
      </c>
      <c r="H49" s="280">
        <f>'C-SH-8A ComPrParGas&amp;DLiv,99-21'!H49*42</f>
        <v>34.694519999999997</v>
      </c>
      <c r="I49" s="280">
        <f>'C-SH-8A ComPrParGas&amp;DLiv,99-21'!I49*42</f>
        <v>46.351200000000006</v>
      </c>
      <c r="J49" s="281">
        <f>'C-SH-8A ComPrParGas&amp;DLiv,99-21'!J49*42</f>
        <v>66.880240000000001</v>
      </c>
      <c r="K49" s="281">
        <f>'C-SH-8A ComPrParGas&amp;DLiv,99-21'!K49*42</f>
        <v>86.549679999999995</v>
      </c>
      <c r="L49" s="281">
        <f>'C-SH-8A ComPrParGas&amp;DLiv,99-21'!L49*42</f>
        <v>87.746259999999992</v>
      </c>
      <c r="M49" s="281">
        <f>'C-SH-8A ComPrParGas&amp;DLiv,99-21'!M49*42</f>
        <v>164.75283999999996</v>
      </c>
      <c r="N49" s="281">
        <f>'C-SH-8A ComPrParGas&amp;DLiv,99-21'!N49*42</f>
        <v>73.18753990230411</v>
      </c>
      <c r="O49" s="281">
        <f>+'C-SH-8A ComPrParGas&amp;DLiv,99-21'!O49*42</f>
        <v>86.242520000000013</v>
      </c>
      <c r="P49" s="281">
        <f>+'C-SH-8A ComPrParGas&amp;DLiv,99-21'!P49*42</f>
        <v>130.61369999999999</v>
      </c>
      <c r="Q49" s="281">
        <f>+'C-SH-8A ComPrParGas&amp;DLiv,99-21'!Q49*42</f>
        <v>119.99960000000002</v>
      </c>
      <c r="R49" s="281">
        <f>+'C-SH-8A ComPrParGas&amp;DLiv,99-21'!R49*42</f>
        <v>124.64900000000002</v>
      </c>
      <c r="S49" s="281">
        <f>+'C-SH-8A ComPrParGas&amp;DLiv,99-21'!S49*42</f>
        <v>127.89560000000002</v>
      </c>
      <c r="T49" s="742">
        <f>+'C-SH-8A ComPrParGas&amp;DLiv,99-21'!T49*42</f>
        <v>83.738200000000006</v>
      </c>
      <c r="U49" s="753">
        <f>+'C-SH-8A ComPrParGas&amp;DLiv,99-21'!U49*42</f>
        <v>66.533599999999993</v>
      </c>
      <c r="V49" s="771">
        <f>+'C-SH-8A ComPrParGas&amp;DLiv,99-21'!V49*42</f>
        <v>67.947599999999994</v>
      </c>
      <c r="W49" s="790">
        <f>+'C-SH-8A ComPrParGas&amp;DLiv,99-21'!W49*42</f>
        <v>97.808199999999999</v>
      </c>
      <c r="X49" s="807">
        <f>+'C-SH-8A ComPrParGas&amp;DLiv,99-21'!X49*42</f>
        <v>86.07480000000001</v>
      </c>
      <c r="Y49" s="836">
        <f>+'C-SH-8A ComPrParGas&amp;DLiv,99-21'!Y49*42</f>
        <v>46.1188</v>
      </c>
      <c r="Z49" s="282">
        <f>+'C-SH-8A ComPrParGas&amp;DLiv,99-21'!Z49*42</f>
        <v>91.267399999999995</v>
      </c>
    </row>
    <row r="50" spans="2:26" ht="15" customHeight="1" x14ac:dyDescent="0.25">
      <c r="B50" s="555" t="s">
        <v>93</v>
      </c>
      <c r="C50" s="274">
        <f>'C-SH-8A ComPrParGas&amp;DLiv,99-21'!C50*42</f>
        <v>23.675129032258067</v>
      </c>
      <c r="D50" s="280">
        <f>'C-SH-8A ComPrParGas&amp;DLiv,99-21'!D50*42</f>
        <v>38.293432258064513</v>
      </c>
      <c r="E50" s="948">
        <f>'C-SH-8A ComPrParGas&amp;DLiv,99-21'!E50*42</f>
        <v>35.320238709677419</v>
      </c>
      <c r="F50" s="949"/>
      <c r="G50" s="280">
        <f>'C-SH-8A ComPrParGas&amp;DLiv,99-21'!G50*42</f>
        <v>32.323470967741933</v>
      </c>
      <c r="H50" s="280">
        <f>'C-SH-8A ComPrParGas&amp;DLiv,99-21'!H50*42</f>
        <v>35.405458064516132</v>
      </c>
      <c r="I50" s="280">
        <f>'C-SH-8A ComPrParGas&amp;DLiv,99-21'!I50*42</f>
        <v>47.326819354838712</v>
      </c>
      <c r="J50" s="281">
        <f>'C-SH-8A ComPrParGas&amp;DLiv,99-21'!J50*42</f>
        <v>74.163329032258062</v>
      </c>
      <c r="K50" s="281">
        <f>'C-SH-8A ComPrParGas&amp;DLiv,99-21'!K50*42</f>
        <v>86.178716129032267</v>
      </c>
      <c r="L50" s="281">
        <f>'C-SH-8A ComPrParGas&amp;DLiv,99-21'!L50*42</f>
        <v>90.516774193548386</v>
      </c>
      <c r="M50" s="281">
        <f>'C-SH-8A ComPrParGas&amp;DLiv,99-21'!M50*42</f>
        <v>169.32719999999998</v>
      </c>
      <c r="N50" s="281">
        <f>'C-SH-8A ComPrParGas&amp;DLiv,99-21'!N50*42</f>
        <v>73.438898255754651</v>
      </c>
      <c r="O50" s="281">
        <f>+'C-SH-8A ComPrParGas&amp;DLiv,99-21'!O50*42</f>
        <v>88.563638709677434</v>
      </c>
      <c r="P50" s="281">
        <f>+'C-SH-8A ComPrParGas&amp;DLiv,99-21'!P50*42</f>
        <v>128.00549999999998</v>
      </c>
      <c r="Q50" s="281">
        <f>+'C-SH-8A ComPrParGas&amp;DLiv,99-21'!Q50*42</f>
        <v>120.54279999999999</v>
      </c>
      <c r="R50" s="281">
        <f>+'C-SH-8A ComPrParGas&amp;DLiv,99-21'!R50*42</f>
        <v>127.4084</v>
      </c>
      <c r="S50" s="281">
        <f>+'C-SH-8A ComPrParGas&amp;DLiv,99-21'!S50*42</f>
        <v>127.827</v>
      </c>
      <c r="T50" s="742">
        <f>+'C-SH-8A ComPrParGas&amp;DLiv,99-21'!T50*42</f>
        <v>78.932000000000002</v>
      </c>
      <c r="U50" s="753">
        <f>+'C-SH-8A ComPrParGas&amp;DLiv,99-21'!U50*42</f>
        <v>63.717149999999997</v>
      </c>
      <c r="V50" s="771">
        <f>+'C-SH-8A ComPrParGas&amp;DLiv,99-21'!V50*42</f>
        <v>65.665600000000012</v>
      </c>
      <c r="W50" s="790">
        <f>+'C-SH-8A ComPrParGas&amp;DLiv,99-21'!W50*42</f>
        <v>95.04740000000001</v>
      </c>
      <c r="X50" s="807">
        <f>+'C-SH-8A ComPrParGas&amp;DLiv,99-21'!X50*42</f>
        <v>84.120399999999989</v>
      </c>
      <c r="Y50" s="836">
        <f>+'C-SH-8A ComPrParGas&amp;DLiv,99-21'!Y50*42</f>
        <v>56.244999999999997</v>
      </c>
      <c r="Z50" s="282">
        <f>+'C-SH-8A ComPrParGas&amp;DLiv,99-21'!Z50*42</f>
        <v>93.426199999999994</v>
      </c>
    </row>
    <row r="51" spans="2:26" ht="15" customHeight="1" x14ac:dyDescent="0.25">
      <c r="B51" s="555" t="s">
        <v>94</v>
      </c>
      <c r="C51" s="274">
        <f>'C-SH-8A ComPrParGas&amp;DLiv,99-21'!C51*42</f>
        <v>26.123051612903222</v>
      </c>
      <c r="D51" s="280">
        <f>'C-SH-8A ComPrParGas&amp;DLiv,99-21'!D51*42</f>
        <v>38.280696774193551</v>
      </c>
      <c r="E51" s="948">
        <f>'C-SH-8A ComPrParGas&amp;DLiv,99-21'!E51*42</f>
        <v>34.495954838709672</v>
      </c>
      <c r="F51" s="949"/>
      <c r="G51" s="280">
        <f>'C-SH-8A ComPrParGas&amp;DLiv,99-21'!G51*42</f>
        <v>32.653509677419351</v>
      </c>
      <c r="H51" s="280">
        <f>'C-SH-8A ComPrParGas&amp;DLiv,99-21'!H51*42</f>
        <v>37.108083870967747</v>
      </c>
      <c r="I51" s="280">
        <f>'C-SH-8A ComPrParGas&amp;DLiv,99-21'!I51*42</f>
        <v>51.559741935483864</v>
      </c>
      <c r="J51" s="281">
        <f>'C-SH-8A ComPrParGas&amp;DLiv,99-21'!J51*42</f>
        <v>75.420619354838706</v>
      </c>
      <c r="K51" s="281">
        <f>'C-SH-8A ComPrParGas&amp;DLiv,99-21'!K51*42</f>
        <v>89.458238709677417</v>
      </c>
      <c r="L51" s="281">
        <f>'C-SH-8A ComPrParGas&amp;DLiv,99-21'!L51*42</f>
        <v>89.238348387096764</v>
      </c>
      <c r="M51" s="281">
        <f>'C-SH-8A ComPrParGas&amp;DLiv,99-21'!M51*42</f>
        <v>149.55370019445868</v>
      </c>
      <c r="N51" s="281">
        <f>'C-SH-8A ComPrParGas&amp;DLiv,99-21'!N51*42</f>
        <v>78.924503225806447</v>
      </c>
      <c r="O51" s="281">
        <f>+'C-SH-8A ComPrParGas&amp;DLiv,99-21'!O51*42</f>
        <v>89.665393548387101</v>
      </c>
      <c r="P51" s="281">
        <f>+'C-SH-8A ComPrParGas&amp;DLiv,99-21'!P51*42</f>
        <v>130.28400000000002</v>
      </c>
      <c r="Q51" s="281">
        <f>+'C-SH-8A ComPrParGas&amp;DLiv,99-21'!Q51*42</f>
        <v>129.42824231644531</v>
      </c>
      <c r="R51" s="281">
        <f>+'C-SH-8A ComPrParGas&amp;DLiv,99-21'!R51*42</f>
        <v>130.95152719548253</v>
      </c>
      <c r="S51" s="281">
        <f>+'C-SH-8A ComPrParGas&amp;DLiv,99-21'!S51*42</f>
        <v>125.3728</v>
      </c>
      <c r="T51" s="742">
        <f>+'C-SH-8A ComPrParGas&amp;DLiv,99-21'!T51*42</f>
        <v>71.656199999999998</v>
      </c>
      <c r="U51" s="753">
        <f>+'C-SH-8A ComPrParGas&amp;DLiv,99-21'!U51*42</f>
        <v>60.704000000000001</v>
      </c>
      <c r="V51" s="771">
        <f>+'C-SH-8A ComPrParGas&amp;DLiv,99-21'!V51*42</f>
        <v>73.058999999999997</v>
      </c>
      <c r="W51" s="790">
        <f>+'C-SH-8A ComPrParGas&amp;DLiv,99-21'!W51*42</f>
        <v>94.834950000000006</v>
      </c>
      <c r="X51" s="807">
        <f>+'C-SH-8A ComPrParGas&amp;DLiv,99-21'!X51*42</f>
        <v>82.833800000000011</v>
      </c>
      <c r="Y51" s="836">
        <f>+'C-SH-8A ComPrParGas&amp;DLiv,99-21'!Y51*42</f>
        <v>57.60860000000001</v>
      </c>
      <c r="Z51" s="282">
        <f>+'C-SH-8A ComPrParGas&amp;DLiv,99-21'!Z51*42</f>
        <v>91.910000000000011</v>
      </c>
    </row>
    <row r="52" spans="2:26" ht="15" customHeight="1" x14ac:dyDescent="0.25">
      <c r="B52" s="555" t="s">
        <v>101</v>
      </c>
      <c r="C52" s="274">
        <f>'C-SH-8A ComPrParGas&amp;DLiv,99-21'!C52*42</f>
        <v>28.165760000000002</v>
      </c>
      <c r="D52" s="280">
        <f>'C-SH-8A ComPrParGas&amp;DLiv,99-21'!D52*42</f>
        <v>45.068799999999996</v>
      </c>
      <c r="E52" s="948">
        <f>'C-SH-8A ComPrParGas&amp;DLiv,99-21'!E52*42</f>
        <v>36.638840000000002</v>
      </c>
      <c r="F52" s="949"/>
      <c r="G52" s="280">
        <f>'C-SH-8A ComPrParGas&amp;DLiv,99-21'!G52*42</f>
        <v>35.2562</v>
      </c>
      <c r="H52" s="280">
        <f>'C-SH-8A ComPrParGas&amp;DLiv,99-21'!H52*42</f>
        <v>36.337139999999998</v>
      </c>
      <c r="I52" s="280">
        <f>'C-SH-8A ComPrParGas&amp;DLiv,99-21'!I52*42</f>
        <v>53.050200000000004</v>
      </c>
      <c r="J52" s="281">
        <f>'C-SH-8A ComPrParGas&amp;DLiv,99-21'!J52*42</f>
        <v>84.343980000000002</v>
      </c>
      <c r="K52" s="281">
        <f>'C-SH-8A ComPrParGas&amp;DLiv,99-21'!K52*42</f>
        <v>84.610120000000009</v>
      </c>
      <c r="L52" s="281">
        <f>'C-SH-8A ComPrParGas&amp;DLiv,99-21'!L52*42</f>
        <v>90.354180000000014</v>
      </c>
      <c r="M52" s="281">
        <f>'C-SH-8A ComPrParGas&amp;DLiv,99-21'!M52*42</f>
        <v>134.21485443589359</v>
      </c>
      <c r="N52" s="281">
        <f>'C-SH-8A ComPrParGas&amp;DLiv,99-21'!N52*42</f>
        <v>79.070319999999995</v>
      </c>
      <c r="O52" s="281">
        <f>+'C-SH-8A ComPrParGas&amp;DLiv,99-21'!O52*42</f>
        <v>89.165999999999997</v>
      </c>
      <c r="P52" s="281">
        <f>+'C-SH-8A ComPrParGas&amp;DLiv,99-21'!P52*42</f>
        <v>128.68240000000003</v>
      </c>
      <c r="Q52" s="281">
        <f>+'C-SH-8A ComPrParGas&amp;DLiv,99-21'!Q52*42</f>
        <v>138.07192584252149</v>
      </c>
      <c r="R52" s="281">
        <f>+'C-SH-8A ComPrParGas&amp;DLiv,99-21'!R52*42</f>
        <v>133.50119999999998</v>
      </c>
      <c r="S52" s="281">
        <f>+'C-SH-8A ComPrParGas&amp;DLiv,99-21'!S52*42</f>
        <v>123.73200000000001</v>
      </c>
      <c r="T52" s="742">
        <f>+'C-SH-8A ComPrParGas&amp;DLiv,99-21'!T52*42</f>
        <v>67.485600000000005</v>
      </c>
      <c r="U52" s="753">
        <f>+'C-SH-8A ComPrParGas&amp;DLiv,99-21'!U52*42</f>
        <v>65.013199999999998</v>
      </c>
      <c r="V52" s="771">
        <f>+'C-SH-8A ComPrParGas&amp;DLiv,99-21'!V52*42</f>
        <v>78.4602</v>
      </c>
      <c r="W52" s="790">
        <f>+'C-SH-8A ComPrParGas&amp;DLiv,99-21'!W52*42</f>
        <v>97.785799999999995</v>
      </c>
      <c r="X52" s="807">
        <f>+'C-SH-8A ComPrParGas&amp;DLiv,99-21'!X52*42</f>
        <v>84.565599999999989</v>
      </c>
      <c r="Y52" s="836">
        <f>+'C-SH-8A ComPrParGas&amp;DLiv,99-21'!Y52*42</f>
        <v>54.7134</v>
      </c>
      <c r="Z52" s="282">
        <f>+'C-SH-8A ComPrParGas&amp;DLiv,99-21'!Z52*42</f>
        <v>93.206400000000016</v>
      </c>
    </row>
    <row r="53" spans="2:26" ht="15" customHeight="1" x14ac:dyDescent="0.25">
      <c r="B53" s="555" t="s">
        <v>95</v>
      </c>
      <c r="C53" s="274">
        <f>'C-SH-8A ComPrParGas&amp;DLiv,99-21'!C53*42</f>
        <v>29.268580645161293</v>
      </c>
      <c r="D53" s="280">
        <f>'C-SH-8A ComPrParGas&amp;DLiv,99-21'!D53*42</f>
        <v>44.963167741935479</v>
      </c>
      <c r="E53" s="948">
        <f>'C-SH-8A ComPrParGas&amp;DLiv,99-21'!E53*42</f>
        <v>32.740625806451611</v>
      </c>
      <c r="F53" s="949"/>
      <c r="G53" s="280">
        <f>'C-SH-8A ComPrParGas&amp;DLiv,99-21'!G53*42</f>
        <v>37.583767741935482</v>
      </c>
      <c r="H53" s="280">
        <f>'C-SH-8A ComPrParGas&amp;DLiv,99-21'!H53*42</f>
        <v>36.021638709677426</v>
      </c>
      <c r="I53" s="280">
        <f>'C-SH-8A ComPrParGas&amp;DLiv,99-21'!I53*42</f>
        <v>62.45345806451612</v>
      </c>
      <c r="J53" s="281">
        <f>'C-SH-8A ComPrParGas&amp;DLiv,99-21'!J53*42</f>
        <v>95.783032258064523</v>
      </c>
      <c r="K53" s="281">
        <f>'C-SH-8A ComPrParGas&amp;DLiv,99-21'!K53*42</f>
        <v>74.886541935483891</v>
      </c>
      <c r="L53" s="281">
        <f>'C-SH-8A ComPrParGas&amp;DLiv,99-21'!L53*42</f>
        <v>96.852406451612907</v>
      </c>
      <c r="M53" s="281">
        <f>'C-SH-8A ComPrParGas&amp;DLiv,99-21'!M53*42</f>
        <v>116.17877419354841</v>
      </c>
      <c r="N53" s="281">
        <f>'C-SH-8A ComPrParGas&amp;DLiv,99-21'!N53*42</f>
        <v>79.394361290322578</v>
      </c>
      <c r="O53" s="281">
        <f>+'C-SH-8A ComPrParGas&amp;DLiv,99-21'!O53*42</f>
        <v>95.345825806451629</v>
      </c>
      <c r="P53" s="281">
        <f>+'C-SH-8A ComPrParGas&amp;DLiv,99-21'!P53*42</f>
        <v>126.0994</v>
      </c>
      <c r="Q53" s="281">
        <f>+'C-SH-8A ComPrParGas&amp;DLiv,99-21'!Q53*42</f>
        <v>139.13737333409986</v>
      </c>
      <c r="R53" s="281">
        <f>+'C-SH-8A ComPrParGas&amp;DLiv,99-21'!R53*42</f>
        <v>130.49782298935878</v>
      </c>
      <c r="S53" s="281">
        <f>+'C-SH-8A ComPrParGas&amp;DLiv,99-21'!S53*42</f>
        <v>115.31939999999999</v>
      </c>
      <c r="T53" s="742">
        <f>+'C-SH-8A ComPrParGas&amp;DLiv,99-21'!T53*42</f>
        <v>65.709000000000003</v>
      </c>
      <c r="U53" s="753">
        <f>+'C-SH-8A ComPrParGas&amp;DLiv,99-21'!U53*42</f>
        <v>68.004999999999995</v>
      </c>
      <c r="V53" s="771">
        <f>+'C-SH-8A ComPrParGas&amp;DLiv,99-21'!V53*42</f>
        <v>80.130400000000009</v>
      </c>
      <c r="W53" s="790">
        <f>+'C-SH-8A ComPrParGas&amp;DLiv,99-21'!W53*42</f>
        <v>102.06140000000002</v>
      </c>
      <c r="X53" s="807">
        <f>+'C-SH-8A ComPrParGas&amp;DLiv,99-21'!X53*42</f>
        <v>86.599800000000002</v>
      </c>
      <c r="Y53" s="836">
        <f>+'C-SH-8A ComPrParGas&amp;DLiv,99-21'!Y53*42</f>
        <v>52.463599999999992</v>
      </c>
      <c r="Z53" s="282">
        <f>+'C-SH-8A ComPrParGas&amp;DLiv,99-21'!Z53*42</f>
        <v>102.42400000000001</v>
      </c>
    </row>
    <row r="54" spans="2:26" ht="15" customHeight="1" x14ac:dyDescent="0.25">
      <c r="B54" s="555" t="s">
        <v>96</v>
      </c>
      <c r="C54" s="274">
        <f>'C-SH-8A ComPrParGas&amp;DLiv,99-21'!C54*42</f>
        <v>29.531320000000001</v>
      </c>
      <c r="D54" s="280">
        <f>'C-SH-8A ComPrParGas&amp;DLiv,99-21'!D54*42</f>
        <v>44.6404</v>
      </c>
      <c r="E54" s="948">
        <f>'C-SH-8A ComPrParGas&amp;DLiv,99-21'!E54*42</f>
        <v>29.375919999999994</v>
      </c>
      <c r="F54" s="949"/>
      <c r="G54" s="280">
        <f>'C-SH-8A ComPrParGas&amp;DLiv,99-21'!G54*42</f>
        <v>35.935479999999998</v>
      </c>
      <c r="H54" s="280">
        <f>'C-SH-8A ComPrParGas&amp;DLiv,99-21'!H54*42</f>
        <v>37.696119999999993</v>
      </c>
      <c r="I54" s="280">
        <f>'C-SH-8A ComPrParGas&amp;DLiv,99-21'!I54*42</f>
        <v>64.408119999999997</v>
      </c>
      <c r="J54" s="281">
        <f>'C-SH-8A ComPrParGas&amp;DLiv,99-21'!J54*42</f>
        <v>81.755520000000004</v>
      </c>
      <c r="K54" s="281">
        <f>'C-SH-8A ComPrParGas&amp;DLiv,99-21'!K54*42</f>
        <v>73.801839999999984</v>
      </c>
      <c r="L54" s="281">
        <f>'C-SH-8A ComPrParGas&amp;DLiv,99-21'!L54*42</f>
        <v>107.79804</v>
      </c>
      <c r="M54" s="281">
        <f>'C-SH-8A ComPrParGas&amp;DLiv,99-21'!M54*42</f>
        <v>86.897719999999993</v>
      </c>
      <c r="N54" s="281">
        <f>'C-SH-8A ComPrParGas&amp;DLiv,99-21'!N54*42</f>
        <v>87.259479999999996</v>
      </c>
      <c r="O54" s="281">
        <f>+'C-SH-8A ComPrParGas&amp;DLiv,99-21'!O54*42</f>
        <v>99.821680000000001</v>
      </c>
      <c r="P54" s="281">
        <f>+'C-SH-8A ComPrParGas&amp;DLiv,99-21'!P54*42</f>
        <v>133.518</v>
      </c>
      <c r="Q54" s="281">
        <f>+'C-SH-8A ComPrParGas&amp;DLiv,99-21'!Q54*42</f>
        <v>132.47754720397157</v>
      </c>
      <c r="R54" s="281">
        <f>+'C-SH-8A ComPrParGas&amp;DLiv,99-21'!R54*42</f>
        <v>127.07749731914505</v>
      </c>
      <c r="S54" s="281">
        <f>+'C-SH-8A ComPrParGas&amp;DLiv,99-21'!S54*42</f>
        <v>106.12699999999998</v>
      </c>
      <c r="T54" s="742">
        <f>+'C-SH-8A ComPrParGas&amp;DLiv,99-21'!T54*42</f>
        <v>64.048599999999993</v>
      </c>
      <c r="U54" s="753">
        <f>+'C-SH-8A ComPrParGas&amp;DLiv,99-21'!U54*42</f>
        <v>67.32459999999999</v>
      </c>
      <c r="V54" s="771">
        <f>+'C-SH-8A ComPrParGas&amp;DLiv,99-21'!V54*42</f>
        <v>82.657399999999996</v>
      </c>
      <c r="W54" s="790">
        <f>+'C-SH-8A ComPrParGas&amp;DLiv,99-21'!W54*42</f>
        <v>97.840400000000002</v>
      </c>
      <c r="X54" s="807">
        <f>+'C-SH-8A ComPrParGas&amp;DLiv,99-21'!X54*42</f>
        <v>85.13539999999999</v>
      </c>
      <c r="Y54" s="836">
        <f>+'C-SH-8A ComPrParGas&amp;DLiv,99-21'!Y54*42</f>
        <v>53.898599999999995</v>
      </c>
      <c r="Z54" s="282">
        <f>+'C-SH-8A ComPrParGas&amp;DLiv,99-21'!Z54*42</f>
        <v>109.14399999999999</v>
      </c>
    </row>
    <row r="55" spans="2:26" ht="15" customHeight="1" x14ac:dyDescent="0.25">
      <c r="B55" s="555" t="s">
        <v>97</v>
      </c>
      <c r="C55" s="274">
        <f>'C-SH-8A ComPrParGas&amp;DLiv,99-21'!C55*42</f>
        <v>32.227548387096775</v>
      </c>
      <c r="D55" s="280">
        <f>'C-SH-8A ComPrParGas&amp;DLiv,99-21'!D55*42</f>
        <v>45.083206451612902</v>
      </c>
      <c r="E55" s="948">
        <f>'C-SH-8A ComPrParGas&amp;DLiv,99-21'!E55*42</f>
        <v>26.083219354838707</v>
      </c>
      <c r="F55" s="949"/>
      <c r="G55" s="280">
        <f>'C-SH-8A ComPrParGas&amp;DLiv,99-21'!G55*42</f>
        <v>36.032477419354834</v>
      </c>
      <c r="H55" s="280">
        <f>'C-SH-8A ComPrParGas&amp;DLiv,99-21'!H55*42</f>
        <v>39.683767741935483</v>
      </c>
      <c r="I55" s="280">
        <f>'C-SH-8A ComPrParGas&amp;DLiv,99-21'!I55*42</f>
        <v>58.277438709677426</v>
      </c>
      <c r="J55" s="281">
        <f>'C-SH-8A ComPrParGas&amp;DLiv,99-21'!J55*42</f>
        <v>74.171864516129034</v>
      </c>
      <c r="K55" s="281">
        <f>'C-SH-8A ComPrParGas&amp;DLiv,99-21'!K55*42</f>
        <v>75.356400000000008</v>
      </c>
      <c r="L55" s="281">
        <f>'C-SH-8A ComPrParGas&amp;DLiv,99-21'!L55*42</f>
        <v>112.17007741935483</v>
      </c>
      <c r="M55" s="281">
        <f>'C-SH-8A ComPrParGas&amp;DLiv,99-21'!M55*42</f>
        <v>68.260296774193549</v>
      </c>
      <c r="N55" s="281">
        <f>'C-SH-8A ComPrParGas&amp;DLiv,99-21'!N55*42</f>
        <v>85.859969655227815</v>
      </c>
      <c r="O55" s="281">
        <f>+'C-SH-8A ComPrParGas&amp;DLiv,99-21'!O55*42</f>
        <v>102.78605806451611</v>
      </c>
      <c r="P55" s="281">
        <f>+'C-SH-8A ComPrParGas&amp;DLiv,99-21'!P55*42</f>
        <v>127.07520000000001</v>
      </c>
      <c r="Q55" s="281">
        <f>+'C-SH-8A ComPrParGas&amp;DLiv,99-21'!Q55*42</f>
        <v>131.00187846266672</v>
      </c>
      <c r="R55" s="281">
        <f>+'C-SH-8A ComPrParGas&amp;DLiv,99-21'!R55*42</f>
        <v>129.51119999999997</v>
      </c>
      <c r="S55" s="281">
        <f>+'C-SH-8A ComPrParGas&amp;DLiv,99-21'!S55*42</f>
        <v>86.14200000000001</v>
      </c>
      <c r="T55" s="742">
        <f>+'C-SH-8A ComPrParGas&amp;DLiv,99-21'!T55*42</f>
        <v>56.555799999999998</v>
      </c>
      <c r="U55" s="753">
        <f>+'C-SH-8A ComPrParGas&amp;DLiv,99-21'!U55*42</f>
        <v>69.232799999999997</v>
      </c>
      <c r="V55" s="771">
        <f>+'C-SH-8A ComPrParGas&amp;DLiv,99-21'!V55*42</f>
        <v>84.555800000000005</v>
      </c>
      <c r="W55" s="790">
        <f>+'C-SH-8A ComPrParGas&amp;DLiv,99-21'!W55*42</f>
        <v>85.177399999999992</v>
      </c>
      <c r="X55" s="807">
        <f>+'C-SH-8A ComPrParGas&amp;DLiv,99-21'!X55*42</f>
        <v>84.838600000000014</v>
      </c>
      <c r="Y55" s="836">
        <f>+'C-SH-8A ComPrParGas&amp;DLiv,99-21'!Y55*42</f>
        <v>63.929600000000001</v>
      </c>
      <c r="Z55" s="282">
        <f>+'C-SH-8A ComPrParGas&amp;DLiv,99-21'!Z55*42</f>
        <v>99.208199999999991</v>
      </c>
    </row>
    <row r="56" spans="2:26" ht="15" customHeight="1" thickBot="1" x14ac:dyDescent="0.3">
      <c r="B56" s="600"/>
      <c r="C56" s="288"/>
      <c r="D56" s="283"/>
      <c r="E56" s="944"/>
      <c r="F56" s="945"/>
      <c r="G56" s="283"/>
      <c r="H56" s="283"/>
      <c r="I56" s="283"/>
      <c r="J56" s="289"/>
      <c r="K56" s="289"/>
      <c r="L56" s="289"/>
      <c r="M56" s="289"/>
      <c r="N56" s="289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418"/>
    </row>
    <row r="57" spans="2:26" ht="24.9" customHeight="1" thickBot="1" x14ac:dyDescent="0.3">
      <c r="B57" s="601" t="s">
        <v>99</v>
      </c>
      <c r="C57" s="292">
        <f>'C-SH-8A ComPrParGas&amp;DLiv,99-21'!C57*42</f>
        <v>24.066678904109587</v>
      </c>
      <c r="D57" s="293">
        <f>'C-SH-8A ComPrParGas&amp;DLiv,99-21'!D57*42</f>
        <v>39.172940983606551</v>
      </c>
      <c r="E57" s="946">
        <f>'C-SH-8A ComPrParGas&amp;DLiv,99-21'!E57*42</f>
        <v>35.020094794520546</v>
      </c>
      <c r="F57" s="947"/>
      <c r="G57" s="293">
        <f>'C-SH-8A ComPrParGas&amp;DLiv,99-21'!G57*42</f>
        <v>32.350436712328772</v>
      </c>
      <c r="H57" s="293">
        <f>'C-SH-8A ComPrParGas&amp;DLiv,99-21'!H57*42</f>
        <v>38.306531506849318</v>
      </c>
      <c r="I57" s="293">
        <f>'C-SH-8A ComPrParGas&amp;DLiv,99-21'!I57*42</f>
        <v>49.799732786885237</v>
      </c>
      <c r="J57" s="445">
        <f>'C-SH-8A ComPrParGas&amp;DLiv,99-21'!J57*42</f>
        <v>72.431899726027396</v>
      </c>
      <c r="K57" s="445">
        <f>'C-SH-8A ComPrParGas&amp;DLiv,99-21'!K57*42</f>
        <v>81.258481643835623</v>
      </c>
      <c r="L57" s="445">
        <f>'C-SH-8A ComPrParGas&amp;DLiv,99-21'!L57*42</f>
        <v>88.167044383561645</v>
      </c>
      <c r="M57" s="445">
        <f>'C-SH-8A ComPrParGas&amp;DLiv,99-21'!M57*42</f>
        <v>126.38355721066947</v>
      </c>
      <c r="N57" s="445">
        <f>'C-SH-8A ComPrParGas&amp;DLiv,99-21'!N57*42</f>
        <v>71.279137814546786</v>
      </c>
      <c r="O57" s="286">
        <f>+'C-SH-8A ComPrParGas&amp;DLiv,99-21'!O57*42</f>
        <v>92.240929315068499</v>
      </c>
      <c r="P57" s="286">
        <f>+'C-SH-8A ComPrParGas&amp;DLiv,99-21'!P57*42</f>
        <v>127.9194</v>
      </c>
      <c r="Q57" s="286">
        <f>+'C-SH-8A ComPrParGas&amp;DLiv,99-21'!Q57*42</f>
        <v>132.8586</v>
      </c>
      <c r="R57" s="286">
        <f>+'C-SH-8A ComPrParGas&amp;DLiv,99-21'!R57*42</f>
        <v>130.86360000000002</v>
      </c>
      <c r="S57" s="286">
        <f>+'C-SH-8A ComPrParGas&amp;DLiv,99-21'!S57*42</f>
        <v>121.32119999999999</v>
      </c>
      <c r="T57" s="741">
        <f>+'C-SH-8A ComPrParGas&amp;DLiv,99-21'!T57*42</f>
        <v>73.512599999999992</v>
      </c>
      <c r="U57" s="754">
        <f>+'C-SH-8A ComPrParGas&amp;DLiv,99-21'!U57*42</f>
        <v>60.522000000000006</v>
      </c>
      <c r="V57" s="772">
        <f>+'C-SH-8A ComPrParGas&amp;DLiv,99-21'!V57*42</f>
        <v>74.570999999999998</v>
      </c>
      <c r="W57" s="791">
        <f>+'C-SH-8A ComPrParGas&amp;DLiv,99-21'!W57*42</f>
        <v>93.529800000000009</v>
      </c>
      <c r="X57" s="808">
        <f>+'C-SH-8A ComPrParGas&amp;DLiv,99-21'!X57*42</f>
        <v>85.835399999999993</v>
      </c>
      <c r="Y57" s="837">
        <f>+'C-SH-8A ComPrParGas&amp;DLiv,99-21'!Y57*42</f>
        <v>57.922199999999997</v>
      </c>
      <c r="Z57" s="287">
        <f>+'C-SH-8A ComPrParGas&amp;DLiv,99-21'!Z57*42</f>
        <v>89.741399999999999</v>
      </c>
    </row>
    <row r="58" spans="2:26" ht="15" customHeight="1" x14ac:dyDescent="0.25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26" s="14" customFormat="1" ht="15" customHeight="1" x14ac:dyDescent="0.25">
      <c r="B59" s="2" t="s">
        <v>219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487"/>
    </row>
    <row r="60" spans="2:26" ht="15" customHeight="1" x14ac:dyDescent="0.25">
      <c r="I60" s="313"/>
      <c r="J60" s="313"/>
    </row>
    <row r="61" spans="2:26" ht="15" customHeight="1" x14ac:dyDescent="0.25">
      <c r="I61" s="313"/>
      <c r="J61" s="313"/>
    </row>
    <row r="63" spans="2:26" ht="15" customHeight="1" x14ac:dyDescent="0.25">
      <c r="K63" s="90"/>
    </row>
  </sheetData>
  <mergeCells count="28">
    <mergeCell ref="E50:F50"/>
    <mergeCell ref="E47:F47"/>
    <mergeCell ref="E46:F46"/>
    <mergeCell ref="E49:F49"/>
    <mergeCell ref="E48:F48"/>
    <mergeCell ref="E45:F45"/>
    <mergeCell ref="B23:B24"/>
    <mergeCell ref="C23:E23"/>
    <mergeCell ref="B41:B42"/>
    <mergeCell ref="E42:F42"/>
    <mergeCell ref="E44:F44"/>
    <mergeCell ref="E43:F43"/>
    <mergeCell ref="F23:Z23"/>
    <mergeCell ref="C41:Z41"/>
    <mergeCell ref="B5:B6"/>
    <mergeCell ref="C5:E5"/>
    <mergeCell ref="F5:Z5"/>
    <mergeCell ref="B1:Z1"/>
    <mergeCell ref="B2:Z2"/>
    <mergeCell ref="B3:Z3"/>
    <mergeCell ref="B4:Z4"/>
    <mergeCell ref="E57:F57"/>
    <mergeCell ref="E51:F51"/>
    <mergeCell ref="E52:F52"/>
    <mergeCell ref="E53:F53"/>
    <mergeCell ref="E54:F54"/>
    <mergeCell ref="E55:F55"/>
    <mergeCell ref="E56:F56"/>
  </mergeCells>
  <phoneticPr fontId="10" type="noConversion"/>
  <pageMargins left="0.75" right="0.75" top="1" bottom="1" header="0" footer="0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Y69"/>
  <sheetViews>
    <sheetView topLeftCell="J1" workbookViewId="0">
      <selection activeCell="Y24" sqref="Y24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5.6640625" style="47" customWidth="1"/>
    <col min="3" max="3" width="12.6640625" style="13" customWidth="1"/>
    <col min="4" max="4" width="11.88671875" style="13" customWidth="1"/>
    <col min="5" max="17" width="12.6640625" style="13" customWidth="1"/>
    <col min="18" max="18" width="12.109375" style="13" bestFit="1" customWidth="1"/>
    <col min="19" max="24" width="11.44140625" style="13"/>
    <col min="25" max="25" width="15.109375" style="13" bestFit="1" customWidth="1"/>
    <col min="26" max="16384" width="11.44140625" style="13"/>
  </cols>
  <sheetData>
    <row r="1" spans="2:25" ht="15" customHeight="1" x14ac:dyDescent="0.25">
      <c r="B1" s="864" t="s">
        <v>64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</row>
    <row r="2" spans="2:25" ht="15" customHeight="1" x14ac:dyDescent="0.25">
      <c r="B2" s="864" t="s">
        <v>40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</row>
    <row r="3" spans="2:25" ht="15" customHeight="1" x14ac:dyDescent="0.25">
      <c r="B3" s="864" t="s">
        <v>309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</row>
    <row r="4" spans="2:25" ht="15" customHeight="1" thickBot="1" x14ac:dyDescent="0.3">
      <c r="B4" s="929" t="s">
        <v>38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</row>
    <row r="5" spans="2:25" ht="15" customHeight="1" thickBot="1" x14ac:dyDescent="0.3">
      <c r="B5" s="930" t="s">
        <v>39</v>
      </c>
      <c r="C5" s="919" t="s">
        <v>209</v>
      </c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1"/>
    </row>
    <row r="6" spans="2:25" ht="15" customHeight="1" thickBot="1" x14ac:dyDescent="0.3">
      <c r="B6" s="931"/>
      <c r="C6" s="831">
        <v>2001</v>
      </c>
      <c r="D6" s="683">
        <v>2002</v>
      </c>
      <c r="E6" s="683">
        <v>2003</v>
      </c>
      <c r="F6" s="683">
        <v>2004</v>
      </c>
      <c r="G6" s="683">
        <v>2005</v>
      </c>
      <c r="H6" s="683">
        <v>2006</v>
      </c>
      <c r="I6" s="683">
        <v>2007</v>
      </c>
      <c r="J6" s="683">
        <v>2008</v>
      </c>
      <c r="K6" s="683">
        <v>2009</v>
      </c>
      <c r="L6" s="684">
        <v>2010</v>
      </c>
      <c r="M6" s="684">
        <v>2011</v>
      </c>
      <c r="N6" s="684">
        <v>2012</v>
      </c>
      <c r="O6" s="684">
        <v>2013</v>
      </c>
      <c r="P6" s="684">
        <v>2014</v>
      </c>
      <c r="Q6" s="684">
        <v>2015</v>
      </c>
      <c r="R6" s="684">
        <v>2016</v>
      </c>
      <c r="S6" s="684">
        <v>2017</v>
      </c>
      <c r="T6" s="684">
        <v>2018</v>
      </c>
      <c r="U6" s="684">
        <v>2019</v>
      </c>
      <c r="V6" s="684">
        <v>2020</v>
      </c>
      <c r="W6" s="838">
        <v>2021</v>
      </c>
    </row>
    <row r="7" spans="2:25" ht="15" customHeight="1" x14ac:dyDescent="0.3">
      <c r="B7" s="606" t="s">
        <v>144</v>
      </c>
      <c r="C7" s="218"/>
      <c r="D7" s="454">
        <v>1.56</v>
      </c>
      <c r="E7" s="452">
        <v>1.8387</v>
      </c>
      <c r="F7" s="452">
        <f>(1.91+1.96+2.01)/3</f>
        <v>1.96</v>
      </c>
      <c r="G7" s="452">
        <v>2.0099999999999998</v>
      </c>
      <c r="H7" s="452">
        <v>2.5299999999999998</v>
      </c>
      <c r="I7" s="452">
        <v>2.44</v>
      </c>
      <c r="J7" s="607">
        <v>3.31</v>
      </c>
      <c r="K7" s="607">
        <v>2.11</v>
      </c>
      <c r="L7" s="655">
        <v>2.9312903225806446</v>
      </c>
      <c r="M7" s="655">
        <v>3.34</v>
      </c>
      <c r="N7" s="655">
        <v>3.64</v>
      </c>
      <c r="O7" s="655">
        <v>3.7854000000000001</v>
      </c>
      <c r="P7" s="655">
        <v>3.82</v>
      </c>
      <c r="Q7" s="744">
        <v>2.4226559999999999</v>
      </c>
      <c r="R7" s="744">
        <v>2.23</v>
      </c>
      <c r="S7" s="744">
        <v>2.8</v>
      </c>
      <c r="T7" s="744">
        <v>2.9526120000000002</v>
      </c>
      <c r="U7" s="744">
        <v>2.54</v>
      </c>
      <c r="V7" s="744">
        <v>2.914758</v>
      </c>
      <c r="W7" s="724">
        <v>2.611926</v>
      </c>
      <c r="X7" s="681"/>
      <c r="Y7" s="681"/>
    </row>
    <row r="8" spans="2:25" ht="15" customHeight="1" x14ac:dyDescent="0.3">
      <c r="B8" s="570" t="s">
        <v>87</v>
      </c>
      <c r="C8" s="218"/>
      <c r="D8" s="454">
        <v>1.58</v>
      </c>
      <c r="E8" s="452">
        <v>1.9361999999999999</v>
      </c>
      <c r="F8" s="452">
        <f>(2.02+2.03)/2</f>
        <v>2.0249999999999999</v>
      </c>
      <c r="G8" s="452">
        <v>2.19</v>
      </c>
      <c r="H8" s="452">
        <v>2.57</v>
      </c>
      <c r="I8" s="452">
        <v>2.46</v>
      </c>
      <c r="J8" s="607">
        <v>3.33</v>
      </c>
      <c r="K8" s="607">
        <v>2.19</v>
      </c>
      <c r="L8" s="655">
        <v>2.8885714285714283</v>
      </c>
      <c r="M8" s="655">
        <v>3.39</v>
      </c>
      <c r="N8" s="655">
        <v>3.85</v>
      </c>
      <c r="O8" s="655">
        <v>4.0503780000000003</v>
      </c>
      <c r="P8" s="655">
        <v>3.86</v>
      </c>
      <c r="Q8" s="655">
        <v>2.611926</v>
      </c>
      <c r="R8" s="655">
        <v>2.16</v>
      </c>
      <c r="S8" s="655">
        <v>2.69</v>
      </c>
      <c r="T8" s="655">
        <v>3.0283200000000003</v>
      </c>
      <c r="U8" s="655">
        <v>2.61</v>
      </c>
      <c r="V8" s="655">
        <v>2.7254879999999999</v>
      </c>
      <c r="W8" s="495">
        <v>2.7633420000000002</v>
      </c>
      <c r="Y8" s="681"/>
    </row>
    <row r="9" spans="2:25" ht="15" customHeight="1" x14ac:dyDescent="0.3">
      <c r="B9" s="570" t="s">
        <v>88</v>
      </c>
      <c r="C9" s="218"/>
      <c r="D9" s="454">
        <v>1.7150000000000001</v>
      </c>
      <c r="E9" s="452">
        <v>2.0015999999999998</v>
      </c>
      <c r="F9" s="452">
        <f>(2.05+2.06)/2</f>
        <v>2.0549999999999997</v>
      </c>
      <c r="G9" s="452">
        <v>2.39</v>
      </c>
      <c r="H9" s="452">
        <v>2.6</v>
      </c>
      <c r="I9" s="452">
        <v>2.71</v>
      </c>
      <c r="J9" s="607">
        <v>3.55</v>
      </c>
      <c r="K9" s="607">
        <v>2.23</v>
      </c>
      <c r="L9" s="655">
        <v>3.0061290322580647</v>
      </c>
      <c r="M9" s="655">
        <v>3.66</v>
      </c>
      <c r="N9" s="655">
        <v>4.1500000000000004</v>
      </c>
      <c r="O9" s="655">
        <v>4.1260860000000008</v>
      </c>
      <c r="P9" s="655">
        <v>3.94</v>
      </c>
      <c r="Q9" s="655">
        <v>2.8390500000000003</v>
      </c>
      <c r="R9" s="655">
        <v>2.2000000000000002</v>
      </c>
      <c r="S9" s="655">
        <v>2.69</v>
      </c>
      <c r="T9" s="655">
        <v>2.914758</v>
      </c>
      <c r="U9" s="655">
        <v>2.84</v>
      </c>
      <c r="V9" s="655">
        <v>2.5740720000000001</v>
      </c>
      <c r="W9" s="495">
        <v>3.104028</v>
      </c>
      <c r="X9" s="681"/>
      <c r="Y9" s="681"/>
    </row>
    <row r="10" spans="2:25" ht="15" customHeight="1" x14ac:dyDescent="0.3">
      <c r="B10" s="570" t="s">
        <v>145</v>
      </c>
      <c r="C10" s="218"/>
      <c r="D10" s="454">
        <v>1.89</v>
      </c>
      <c r="E10" s="452">
        <v>1.8327</v>
      </c>
      <c r="F10" s="452">
        <f>(2.07+2.09)/2</f>
        <v>2.08</v>
      </c>
      <c r="G10" s="452">
        <v>2.31</v>
      </c>
      <c r="H10" s="452">
        <v>3.16</v>
      </c>
      <c r="I10" s="452">
        <v>2.94</v>
      </c>
      <c r="J10" s="607">
        <v>3.65</v>
      </c>
      <c r="K10" s="607">
        <v>2.34</v>
      </c>
      <c r="L10" s="655">
        <v>3.1133333333333333</v>
      </c>
      <c r="M10" s="655">
        <v>3.97</v>
      </c>
      <c r="N10" s="655">
        <v>4.3099999999999996</v>
      </c>
      <c r="O10" s="655">
        <v>3.9746700000000001</v>
      </c>
      <c r="P10" s="655">
        <v>4.01</v>
      </c>
      <c r="Q10" s="655">
        <v>2.8390500000000003</v>
      </c>
      <c r="R10" s="655">
        <v>2.46</v>
      </c>
      <c r="S10" s="655">
        <v>2.73</v>
      </c>
      <c r="T10" s="655">
        <v>3.104028</v>
      </c>
      <c r="U10" s="655">
        <v>3.14</v>
      </c>
      <c r="V10" s="655">
        <v>1.6277220000000001</v>
      </c>
      <c r="W10" s="495">
        <v>3.104028</v>
      </c>
      <c r="X10" s="681"/>
      <c r="Y10" s="681"/>
    </row>
    <row r="11" spans="2:25" ht="15" customHeight="1" x14ac:dyDescent="0.3">
      <c r="B11" s="570" t="s">
        <v>90</v>
      </c>
      <c r="C11" s="218"/>
      <c r="D11" s="454">
        <v>1.875</v>
      </c>
      <c r="E11" s="452">
        <v>1.7490000000000001</v>
      </c>
      <c r="F11" s="452">
        <f>(2.19+2.12)/2</f>
        <v>2.1550000000000002</v>
      </c>
      <c r="G11" s="452">
        <v>2.17</v>
      </c>
      <c r="H11" s="452">
        <v>3.09</v>
      </c>
      <c r="I11" s="452">
        <v>3.16</v>
      </c>
      <c r="J11" s="607">
        <v>3.99</v>
      </c>
      <c r="K11" s="607">
        <v>2.5</v>
      </c>
      <c r="L11" s="655">
        <v>3.1254838709677424</v>
      </c>
      <c r="M11" s="655">
        <v>3.98</v>
      </c>
      <c r="N11" s="655">
        <v>4.01</v>
      </c>
      <c r="O11" s="655">
        <v>3.898962</v>
      </c>
      <c r="P11" s="655">
        <v>4.05</v>
      </c>
      <c r="Q11" s="655">
        <v>3.0661740000000002</v>
      </c>
      <c r="R11" s="655">
        <v>2.57</v>
      </c>
      <c r="S11" s="655">
        <v>2.73</v>
      </c>
      <c r="T11" s="655">
        <v>3.2932980000000001</v>
      </c>
      <c r="U11" s="655">
        <v>3.32</v>
      </c>
      <c r="V11" s="655">
        <v>1.9684080000000002</v>
      </c>
      <c r="W11" s="495">
        <v>3.21759</v>
      </c>
      <c r="X11" s="681"/>
      <c r="Y11" s="681"/>
    </row>
    <row r="12" spans="2:25" ht="15" customHeight="1" x14ac:dyDescent="0.3">
      <c r="B12" s="570" t="s">
        <v>91</v>
      </c>
      <c r="C12" s="218"/>
      <c r="D12" s="454">
        <v>1.85</v>
      </c>
      <c r="E12" s="452">
        <v>1.7796000000000001</v>
      </c>
      <c r="F12" s="452">
        <f>(2.35+2.18+2.12)/3</f>
        <v>2.2166666666666668</v>
      </c>
      <c r="G12" s="452">
        <v>2.17</v>
      </c>
      <c r="H12" s="452">
        <v>3.01</v>
      </c>
      <c r="I12" s="452">
        <v>3.2</v>
      </c>
      <c r="J12" s="607">
        <v>4.3</v>
      </c>
      <c r="K12" s="607">
        <v>2.85</v>
      </c>
      <c r="L12" s="655">
        <v>2.8886666666666665</v>
      </c>
      <c r="M12" s="655">
        <v>3.96</v>
      </c>
      <c r="N12" s="655">
        <v>3.8</v>
      </c>
      <c r="O12" s="655">
        <v>3.9368160000000003</v>
      </c>
      <c r="P12" s="655">
        <v>4.09</v>
      </c>
      <c r="Q12" s="655">
        <v>3.1418819999999998</v>
      </c>
      <c r="R12" s="655">
        <v>2.65</v>
      </c>
      <c r="S12" s="655">
        <v>2.65</v>
      </c>
      <c r="T12" s="655">
        <v>3.2554440000000002</v>
      </c>
      <c r="U12" s="655">
        <v>3.23</v>
      </c>
      <c r="V12" s="655">
        <v>2.195532</v>
      </c>
      <c r="W12" s="495">
        <v>3.2554440000000002</v>
      </c>
      <c r="X12" s="681"/>
      <c r="Y12" s="681"/>
    </row>
    <row r="13" spans="2:25" ht="15" customHeight="1" x14ac:dyDescent="0.3">
      <c r="B13" s="570" t="s">
        <v>93</v>
      </c>
      <c r="C13" s="218"/>
      <c r="D13" s="454">
        <v>1.8533333333333333</v>
      </c>
      <c r="E13" s="452">
        <v>1.8064</v>
      </c>
      <c r="F13" s="453">
        <v>2.17</v>
      </c>
      <c r="G13" s="453">
        <v>2.2799999999999998</v>
      </c>
      <c r="H13" s="453">
        <v>3.14</v>
      </c>
      <c r="I13" s="453">
        <v>3.09</v>
      </c>
      <c r="J13" s="608">
        <v>4.34</v>
      </c>
      <c r="K13" s="608">
        <v>2.71</v>
      </c>
      <c r="L13" s="656">
        <v>2.9609677419354834</v>
      </c>
      <c r="M13" s="656">
        <v>3.94</v>
      </c>
      <c r="N13" s="656">
        <v>3.67</v>
      </c>
      <c r="O13" s="656">
        <v>3.9746700000000001</v>
      </c>
      <c r="P13" s="656">
        <v>4.09</v>
      </c>
      <c r="Q13" s="656">
        <v>3.1797360000000001</v>
      </c>
      <c r="R13" s="656">
        <v>2.54</v>
      </c>
      <c r="S13" s="656">
        <v>2.61</v>
      </c>
      <c r="T13" s="656">
        <v>3.21759</v>
      </c>
      <c r="U13" s="656">
        <v>3.18</v>
      </c>
      <c r="V13" s="656">
        <v>2.3469480000000003</v>
      </c>
      <c r="W13" s="496">
        <v>3.3311519999999999</v>
      </c>
      <c r="X13" s="681"/>
      <c r="Y13" s="681"/>
    </row>
    <row r="14" spans="2:25" ht="15" customHeight="1" x14ac:dyDescent="0.3">
      <c r="B14" s="570" t="s">
        <v>94</v>
      </c>
      <c r="C14" s="218"/>
      <c r="D14" s="454">
        <v>1.86</v>
      </c>
      <c r="E14" s="452">
        <v>1.891</v>
      </c>
      <c r="F14" s="453">
        <v>2.12</v>
      </c>
      <c r="G14" s="453">
        <v>2.4900000000000002</v>
      </c>
      <c r="H14" s="453">
        <v>3.05</v>
      </c>
      <c r="I14" s="453">
        <v>2.92</v>
      </c>
      <c r="J14" s="608">
        <v>4</v>
      </c>
      <c r="K14" s="608">
        <v>2.86</v>
      </c>
      <c r="L14" s="656">
        <v>2.9680645161290324</v>
      </c>
      <c r="M14" s="656">
        <v>3.86</v>
      </c>
      <c r="N14" s="656">
        <v>3.94</v>
      </c>
      <c r="O14" s="656">
        <v>4.0503780000000003</v>
      </c>
      <c r="P14" s="656">
        <v>3.94</v>
      </c>
      <c r="Q14" s="656">
        <v>2.914758</v>
      </c>
      <c r="R14" s="656">
        <v>2.46</v>
      </c>
      <c r="S14" s="656">
        <v>2.76</v>
      </c>
      <c r="T14" s="656">
        <v>3.21759</v>
      </c>
      <c r="U14" s="656">
        <v>2.91</v>
      </c>
      <c r="V14" s="656">
        <v>2.3469480000000003</v>
      </c>
      <c r="W14" s="496">
        <v>3.3311519999999999</v>
      </c>
      <c r="X14" s="681"/>
      <c r="Y14" s="681"/>
    </row>
    <row r="15" spans="2:25" ht="15" customHeight="1" x14ac:dyDescent="0.3">
      <c r="B15" s="570" t="s">
        <v>101</v>
      </c>
      <c r="C15" s="218"/>
      <c r="D15" s="454">
        <v>1.86</v>
      </c>
      <c r="E15" s="452">
        <v>1.8936999999999999</v>
      </c>
      <c r="F15" s="453">
        <v>2.12</v>
      </c>
      <c r="G15" s="453">
        <v>2.93</v>
      </c>
      <c r="H15" s="453">
        <v>2.64</v>
      </c>
      <c r="I15" s="453">
        <v>2.95</v>
      </c>
      <c r="J15" s="608">
        <v>4</v>
      </c>
      <c r="K15" s="608">
        <v>2.72</v>
      </c>
      <c r="L15" s="656">
        <v>2.88</v>
      </c>
      <c r="M15" s="656">
        <v>3.83</v>
      </c>
      <c r="N15" s="656">
        <v>4.13</v>
      </c>
      <c r="O15" s="656">
        <v>3.9746700000000001</v>
      </c>
      <c r="P15" s="656">
        <v>3.82</v>
      </c>
      <c r="Q15" s="656">
        <v>2.5362180000000003</v>
      </c>
      <c r="R15" s="656">
        <v>2.57</v>
      </c>
      <c r="S15" s="656">
        <v>2.91</v>
      </c>
      <c r="T15" s="656">
        <v>3.1797360000000001</v>
      </c>
      <c r="U15" s="656">
        <v>2.8</v>
      </c>
      <c r="V15" s="656">
        <v>2.3848020000000001</v>
      </c>
      <c r="W15" s="496">
        <v>3.3690060000000002</v>
      </c>
      <c r="X15" s="681"/>
      <c r="Y15" s="681"/>
    </row>
    <row r="16" spans="2:25" ht="15" customHeight="1" x14ac:dyDescent="0.3">
      <c r="B16" s="570" t="s">
        <v>95</v>
      </c>
      <c r="C16" s="218"/>
      <c r="D16" s="454">
        <v>1.91</v>
      </c>
      <c r="E16" s="452">
        <v>1.7879</v>
      </c>
      <c r="F16" s="453">
        <f>(2.26+2.3)/2</f>
        <v>2.2799999999999998</v>
      </c>
      <c r="G16" s="453">
        <v>2.94</v>
      </c>
      <c r="H16" s="453">
        <v>2.44</v>
      </c>
      <c r="I16" s="453">
        <v>2.97</v>
      </c>
      <c r="J16" s="608">
        <v>3.14</v>
      </c>
      <c r="K16" s="608">
        <v>2.7</v>
      </c>
      <c r="L16" s="656">
        <v>2.9767741935483869</v>
      </c>
      <c r="M16" s="656">
        <v>3.62</v>
      </c>
      <c r="N16" s="656">
        <v>4.08</v>
      </c>
      <c r="O16" s="656">
        <v>3.7854000000000001</v>
      </c>
      <c r="P16" s="656">
        <v>3.75</v>
      </c>
      <c r="Q16" s="656">
        <v>2.498364</v>
      </c>
      <c r="R16" s="656">
        <v>2.57</v>
      </c>
      <c r="S16" s="656">
        <v>2.83</v>
      </c>
      <c r="T16" s="656">
        <v>3.21759</v>
      </c>
      <c r="U16" s="656">
        <v>2.84</v>
      </c>
      <c r="V16" s="656">
        <v>2.3848020000000001</v>
      </c>
      <c r="W16" s="496">
        <v>3.4825680000000001</v>
      </c>
      <c r="X16" s="681"/>
      <c r="Y16" s="681"/>
    </row>
    <row r="17" spans="2:25" ht="15" customHeight="1" x14ac:dyDescent="0.3">
      <c r="B17" s="570" t="s">
        <v>96</v>
      </c>
      <c r="C17" s="218"/>
      <c r="D17" s="454">
        <v>1.85</v>
      </c>
      <c r="E17" s="452">
        <v>1.8090999999999999</v>
      </c>
      <c r="F17" s="453">
        <f>(2.27+2.25)/2</f>
        <v>2.2599999999999998</v>
      </c>
      <c r="G17" s="453">
        <v>2.44</v>
      </c>
      <c r="H17" s="453">
        <v>2.44</v>
      </c>
      <c r="I17" s="453">
        <v>3.2</v>
      </c>
      <c r="J17" s="608">
        <v>2.33</v>
      </c>
      <c r="K17" s="608">
        <v>2.89</v>
      </c>
      <c r="L17" s="656">
        <v>3.0373333333333337</v>
      </c>
      <c r="M17" s="656">
        <v>3.63</v>
      </c>
      <c r="N17" s="656">
        <v>3.7</v>
      </c>
      <c r="O17" s="656">
        <v>3.6339839999999999</v>
      </c>
      <c r="P17" s="656">
        <v>3.29</v>
      </c>
      <c r="Q17" s="656">
        <v>2.3848020000000001</v>
      </c>
      <c r="R17" s="656">
        <v>2.46</v>
      </c>
      <c r="S17" s="656">
        <v>2.92</v>
      </c>
      <c r="T17" s="656">
        <v>2.8769040000000001</v>
      </c>
      <c r="U17" s="656">
        <v>2.84</v>
      </c>
      <c r="V17" s="656">
        <v>2.2712400000000001</v>
      </c>
      <c r="W17" s="496">
        <v>3.5582759999999998</v>
      </c>
      <c r="X17" s="681"/>
      <c r="Y17" s="681"/>
    </row>
    <row r="18" spans="2:25" ht="15" customHeight="1" thickBot="1" x14ac:dyDescent="0.35">
      <c r="B18" s="570" t="s">
        <v>97</v>
      </c>
      <c r="C18" s="218">
        <v>1.49</v>
      </c>
      <c r="D18" s="454">
        <v>1.77</v>
      </c>
      <c r="E18" s="452">
        <v>1.8285</v>
      </c>
      <c r="F18" s="453">
        <f>(2.12+2.02)/2</f>
        <v>2.0700000000000003</v>
      </c>
      <c r="G18" s="453">
        <v>2.38</v>
      </c>
      <c r="H18" s="453">
        <v>2.5</v>
      </c>
      <c r="I18" s="453">
        <v>3.22</v>
      </c>
      <c r="J18" s="608">
        <v>1.98</v>
      </c>
      <c r="K18" s="608">
        <v>2.85</v>
      </c>
      <c r="L18" s="656">
        <v>3.1496774193548385</v>
      </c>
      <c r="M18" s="656">
        <v>3.52</v>
      </c>
      <c r="N18" s="656">
        <v>3.67</v>
      </c>
      <c r="O18" s="656">
        <v>3.7475460000000003</v>
      </c>
      <c r="P18" s="656">
        <v>2.8</v>
      </c>
      <c r="Q18" s="656">
        <v>2.3469480000000003</v>
      </c>
      <c r="R18" s="757">
        <v>2.65</v>
      </c>
      <c r="S18" s="757">
        <v>2.88</v>
      </c>
      <c r="T18" s="757">
        <v>2.6497799999999998</v>
      </c>
      <c r="U18" s="757">
        <v>2.84</v>
      </c>
      <c r="V18" s="757">
        <v>2.4226559999999999</v>
      </c>
      <c r="W18" s="745">
        <v>3.3311519999999999</v>
      </c>
      <c r="X18" s="681"/>
      <c r="Y18" s="681"/>
    </row>
    <row r="19" spans="2:25" ht="15" customHeight="1" thickBot="1" x14ac:dyDescent="0.3">
      <c r="B19" s="557" t="s">
        <v>99</v>
      </c>
      <c r="C19" s="609">
        <v>1.49</v>
      </c>
      <c r="D19" s="610">
        <f t="shared" ref="D19:K19" si="0">SUM(D7:D18)/(12)</f>
        <v>1.7977777777777779</v>
      </c>
      <c r="E19" s="610">
        <f t="shared" si="0"/>
        <v>1.8462000000000003</v>
      </c>
      <c r="F19" s="610">
        <f t="shared" si="0"/>
        <v>2.1259722222222224</v>
      </c>
      <c r="G19" s="610">
        <f t="shared" si="0"/>
        <v>2.3916666666666666</v>
      </c>
      <c r="H19" s="610">
        <f t="shared" si="0"/>
        <v>2.7641666666666667</v>
      </c>
      <c r="I19" s="610">
        <f>SUM(I7:I18)/(12)</f>
        <v>2.938333333333333</v>
      </c>
      <c r="J19" s="610">
        <f>SUM(J7:J18)/(12)</f>
        <v>3.4933333333333327</v>
      </c>
      <c r="K19" s="610">
        <f t="shared" si="0"/>
        <v>2.5791666666666666</v>
      </c>
      <c r="L19" s="609">
        <v>2.9938576548899127</v>
      </c>
      <c r="M19" s="609">
        <v>3.73</v>
      </c>
      <c r="N19" s="609">
        <v>3.91</v>
      </c>
      <c r="O19" s="609">
        <v>3.91</v>
      </c>
      <c r="P19" s="609">
        <v>3.79</v>
      </c>
      <c r="Q19" s="609">
        <v>2.73</v>
      </c>
      <c r="R19" s="609">
        <v>2.46</v>
      </c>
      <c r="S19" s="609">
        <v>2.77</v>
      </c>
      <c r="T19" s="609">
        <v>3.08</v>
      </c>
      <c r="U19" s="609">
        <v>2.92</v>
      </c>
      <c r="V19" s="609">
        <v>2.35</v>
      </c>
      <c r="W19" s="611">
        <v>3.21</v>
      </c>
      <c r="X19" s="681"/>
      <c r="Y19" s="681"/>
    </row>
    <row r="20" spans="2:25" ht="15" customHeight="1" thickBot="1" x14ac:dyDescent="0.3">
      <c r="B20" s="6"/>
      <c r="C20" s="6"/>
      <c r="D20" s="6"/>
      <c r="E20" s="6"/>
      <c r="F20" s="6"/>
      <c r="G20" s="6"/>
      <c r="H20" s="6"/>
      <c r="I20" s="6"/>
      <c r="J20" s="6"/>
      <c r="K20" s="6"/>
      <c r="N20"/>
      <c r="O20"/>
      <c r="P20"/>
      <c r="Q20" s="681"/>
      <c r="R20" s="681"/>
      <c r="T20" s="681"/>
      <c r="W20" s="681"/>
      <c r="X20" s="681"/>
      <c r="Y20" s="681"/>
    </row>
    <row r="21" spans="2:25" ht="15" customHeight="1" thickBot="1" x14ac:dyDescent="0.3">
      <c r="B21" s="930" t="s">
        <v>39</v>
      </c>
      <c r="C21" s="919" t="s">
        <v>210</v>
      </c>
      <c r="D21" s="920"/>
      <c r="E21" s="920"/>
      <c r="F21" s="920"/>
      <c r="G21" s="920"/>
      <c r="H21" s="920"/>
      <c r="I21" s="920"/>
      <c r="J21" s="920"/>
      <c r="K21" s="920"/>
      <c r="L21" s="920"/>
      <c r="M21" s="920"/>
      <c r="N21" s="920"/>
      <c r="O21" s="920"/>
      <c r="P21" s="920"/>
      <c r="Q21" s="920"/>
      <c r="R21" s="920"/>
      <c r="S21" s="920"/>
      <c r="T21" s="920"/>
      <c r="U21" s="920"/>
      <c r="V21" s="920"/>
      <c r="W21" s="921"/>
      <c r="X21" s="681"/>
      <c r="Y21" s="681"/>
    </row>
    <row r="22" spans="2:25" ht="15" customHeight="1" thickBot="1" x14ac:dyDescent="0.3">
      <c r="B22" s="931"/>
      <c r="C22" s="831">
        <v>2001</v>
      </c>
      <c r="D22" s="684">
        <v>2002</v>
      </c>
      <c r="E22" s="684">
        <v>2003</v>
      </c>
      <c r="F22" s="684">
        <v>2004</v>
      </c>
      <c r="G22" s="684">
        <v>2005</v>
      </c>
      <c r="H22" s="684">
        <v>2006</v>
      </c>
      <c r="I22" s="683">
        <v>2007</v>
      </c>
      <c r="J22" s="683">
        <v>2008</v>
      </c>
      <c r="K22" s="683">
        <v>2009</v>
      </c>
      <c r="L22" s="684">
        <v>2010</v>
      </c>
      <c r="M22" s="684">
        <v>2011</v>
      </c>
      <c r="N22" s="684">
        <v>2012</v>
      </c>
      <c r="O22" s="684">
        <v>2013</v>
      </c>
      <c r="P22" s="684">
        <v>2014</v>
      </c>
      <c r="Q22" s="684">
        <v>2015</v>
      </c>
      <c r="R22" s="684">
        <v>2016</v>
      </c>
      <c r="S22" s="684">
        <v>2017</v>
      </c>
      <c r="T22" s="684">
        <v>2018</v>
      </c>
      <c r="U22" s="684">
        <v>2019</v>
      </c>
      <c r="V22" s="684">
        <v>2020</v>
      </c>
      <c r="W22" s="627">
        <v>2021</v>
      </c>
      <c r="X22" s="681"/>
      <c r="Y22" s="681"/>
    </row>
    <row r="23" spans="2:25" ht="15" customHeight="1" x14ac:dyDescent="0.3">
      <c r="B23" s="606" t="s">
        <v>144</v>
      </c>
      <c r="C23" s="612">
        <v>1.86</v>
      </c>
      <c r="D23" s="452">
        <f>(1.54+1.64)/2</f>
        <v>1.5899999999999999</v>
      </c>
      <c r="E23" s="452">
        <v>1.8786</v>
      </c>
      <c r="F23" s="452">
        <f>(1.96+2.03+2.07)/3</f>
        <v>2.02</v>
      </c>
      <c r="G23" s="452">
        <v>2.04</v>
      </c>
      <c r="H23" s="452">
        <v>2.68</v>
      </c>
      <c r="I23" s="452">
        <v>2.58</v>
      </c>
      <c r="J23" s="607">
        <v>3.48</v>
      </c>
      <c r="K23" s="607">
        <v>2.27</v>
      </c>
      <c r="L23" s="655">
        <v>3.1025806451612903</v>
      </c>
      <c r="M23" s="655">
        <v>3.51</v>
      </c>
      <c r="N23" s="655">
        <v>3.97</v>
      </c>
      <c r="O23" s="655">
        <v>4.0882320000000005</v>
      </c>
      <c r="P23" s="655">
        <v>4.09</v>
      </c>
      <c r="Q23" s="655">
        <v>2.6497799999999998</v>
      </c>
      <c r="R23" s="655">
        <v>2.42</v>
      </c>
      <c r="S23" s="655">
        <v>2.91</v>
      </c>
      <c r="T23" s="655">
        <v>3.0661740000000002</v>
      </c>
      <c r="U23" s="655">
        <v>2.65</v>
      </c>
      <c r="V23" s="655">
        <v>3.0661740000000002</v>
      </c>
      <c r="W23" s="495">
        <v>2.6497799999999998</v>
      </c>
      <c r="X23" s="681"/>
      <c r="Y23" s="681"/>
    </row>
    <row r="24" spans="2:25" ht="15" customHeight="1" x14ac:dyDescent="0.3">
      <c r="B24" s="570" t="s">
        <v>87</v>
      </c>
      <c r="C24" s="612">
        <v>1.89</v>
      </c>
      <c r="D24" s="452">
        <v>1.61</v>
      </c>
      <c r="E24" s="452">
        <v>1.9742999999999999</v>
      </c>
      <c r="F24" s="452">
        <f>(2.11+2.1)/2</f>
        <v>2.105</v>
      </c>
      <c r="G24" s="452">
        <v>2.23</v>
      </c>
      <c r="H24" s="452">
        <v>2.71</v>
      </c>
      <c r="I24" s="452">
        <v>2.58</v>
      </c>
      <c r="J24" s="607">
        <v>3.5</v>
      </c>
      <c r="K24" s="607">
        <v>2.39</v>
      </c>
      <c r="L24" s="655">
        <v>3.0664285714285717</v>
      </c>
      <c r="M24" s="655">
        <v>3.54</v>
      </c>
      <c r="N24" s="655">
        <v>4.2300000000000004</v>
      </c>
      <c r="O24" s="655">
        <v>4.4289179999999995</v>
      </c>
      <c r="P24" s="655">
        <v>4.16</v>
      </c>
      <c r="Q24" s="655">
        <v>2.7633420000000002</v>
      </c>
      <c r="R24" s="655">
        <v>2.31</v>
      </c>
      <c r="S24" s="655">
        <v>2.84</v>
      </c>
      <c r="T24" s="655">
        <v>3.1418819999999998</v>
      </c>
      <c r="U24" s="655">
        <v>2.73</v>
      </c>
      <c r="V24" s="655">
        <v>2.8769040000000001</v>
      </c>
      <c r="W24" s="495">
        <v>2.8390500000000003</v>
      </c>
      <c r="Y24" s="681"/>
    </row>
    <row r="25" spans="2:25" ht="15" customHeight="1" x14ac:dyDescent="0.3">
      <c r="B25" s="570" t="s">
        <v>88</v>
      </c>
      <c r="C25" s="612">
        <v>1.87</v>
      </c>
      <c r="D25" s="452">
        <f>(1.67+1.83)/2</f>
        <v>1.75</v>
      </c>
      <c r="E25" s="452">
        <v>2.0438999999999998</v>
      </c>
      <c r="F25" s="452">
        <f>(2.14+2.12)/2</f>
        <v>2.13</v>
      </c>
      <c r="G25" s="452">
        <v>2.44</v>
      </c>
      <c r="H25" s="452">
        <v>2.77</v>
      </c>
      <c r="I25" s="452">
        <v>2.87</v>
      </c>
      <c r="J25" s="607">
        <v>3.79</v>
      </c>
      <c r="K25" s="607">
        <v>2.4</v>
      </c>
      <c r="L25" s="655">
        <v>3.1967741935483867</v>
      </c>
      <c r="M25" s="655">
        <v>3.83</v>
      </c>
      <c r="N25" s="655">
        <v>4.4000000000000004</v>
      </c>
      <c r="O25" s="655">
        <v>4.504626</v>
      </c>
      <c r="P25" s="655">
        <v>4.24</v>
      </c>
      <c r="Q25" s="655">
        <v>2.9904660000000001</v>
      </c>
      <c r="R25" s="655">
        <v>2.35</v>
      </c>
      <c r="S25" s="655">
        <v>2.76</v>
      </c>
      <c r="T25" s="655">
        <v>3.0283200000000003</v>
      </c>
      <c r="U25" s="655">
        <v>2.99</v>
      </c>
      <c r="V25" s="655">
        <v>2.7254879999999999</v>
      </c>
      <c r="W25" s="495">
        <v>3.1418819999999998</v>
      </c>
      <c r="X25" s="681"/>
      <c r="Y25" s="681"/>
    </row>
    <row r="26" spans="2:25" ht="15" customHeight="1" x14ac:dyDescent="0.3">
      <c r="B26" s="570" t="s">
        <v>145</v>
      </c>
      <c r="C26" s="612">
        <v>1.99</v>
      </c>
      <c r="D26" s="452">
        <f>(1.9+1.94)/2</f>
        <v>1.92</v>
      </c>
      <c r="E26" s="452">
        <v>1.9073</v>
      </c>
      <c r="F26" s="452">
        <f>(2.18+2.15)/2</f>
        <v>2.165</v>
      </c>
      <c r="G26" s="452">
        <v>2.42</v>
      </c>
      <c r="H26" s="452">
        <v>3.32</v>
      </c>
      <c r="I26" s="452">
        <v>3.25</v>
      </c>
      <c r="J26" s="607">
        <v>3.88</v>
      </c>
      <c r="K26" s="607">
        <v>2.56</v>
      </c>
      <c r="L26" s="655">
        <v>3.3676666666666666</v>
      </c>
      <c r="M26" s="655">
        <v>4.3099999999999996</v>
      </c>
      <c r="N26" s="655">
        <v>4.68</v>
      </c>
      <c r="O26" s="655">
        <v>4.3153559999999995</v>
      </c>
      <c r="P26" s="655">
        <v>4.2</v>
      </c>
      <c r="Q26" s="655">
        <v>2.9904660000000001</v>
      </c>
      <c r="R26" s="655">
        <v>2.57</v>
      </c>
      <c r="S26" s="655">
        <v>2.84</v>
      </c>
      <c r="T26" s="655">
        <v>3.21759</v>
      </c>
      <c r="U26" s="655">
        <v>3.29</v>
      </c>
      <c r="V26" s="655">
        <v>1.70343</v>
      </c>
      <c r="W26" s="495">
        <v>3.1797360000000001</v>
      </c>
      <c r="X26" s="681"/>
      <c r="Y26" s="681"/>
    </row>
    <row r="27" spans="2:25" ht="15" customHeight="1" x14ac:dyDescent="0.3">
      <c r="B27" s="570" t="s">
        <v>90</v>
      </c>
      <c r="C27" s="612">
        <v>2.0699999999999998</v>
      </c>
      <c r="D27" s="452">
        <f>(1.92+1.89)/2</f>
        <v>1.9049999999999998</v>
      </c>
      <c r="E27" s="452">
        <v>1.8263</v>
      </c>
      <c r="F27" s="452">
        <f>(2.33+2.18)/2</f>
        <v>2.2549999999999999</v>
      </c>
      <c r="G27" s="452">
        <v>2.2999999999999998</v>
      </c>
      <c r="H27" s="452">
        <v>3.33</v>
      </c>
      <c r="I27" s="452">
        <v>3.36</v>
      </c>
      <c r="J27" s="607">
        <v>4.2</v>
      </c>
      <c r="K27" s="607">
        <v>2.71</v>
      </c>
      <c r="L27" s="655">
        <v>3.3816129032258067</v>
      </c>
      <c r="M27" s="655">
        <v>4.46</v>
      </c>
      <c r="N27" s="655">
        <v>4.43</v>
      </c>
      <c r="O27" s="655">
        <v>4.2396480000000007</v>
      </c>
      <c r="P27" s="655">
        <v>4.28</v>
      </c>
      <c r="Q27" s="655">
        <v>3.2932980000000001</v>
      </c>
      <c r="R27" s="655">
        <v>2.73</v>
      </c>
      <c r="S27" s="655">
        <v>2.84</v>
      </c>
      <c r="T27" s="655">
        <v>3.3690060000000002</v>
      </c>
      <c r="U27" s="655">
        <v>3.4</v>
      </c>
      <c r="V27" s="655">
        <v>2.0441160000000003</v>
      </c>
      <c r="W27" s="495">
        <v>3.2932980000000001</v>
      </c>
      <c r="X27" s="681"/>
      <c r="Y27" s="681"/>
    </row>
    <row r="28" spans="2:25" ht="15" customHeight="1" x14ac:dyDescent="0.3">
      <c r="B28" s="570" t="s">
        <v>91</v>
      </c>
      <c r="C28" s="612">
        <v>1.94</v>
      </c>
      <c r="D28" s="452">
        <f>(1.89+1.87)/2</f>
        <v>1.88</v>
      </c>
      <c r="E28" s="452">
        <v>1.8431</v>
      </c>
      <c r="F28" s="452">
        <f>(2.37+2.32+2.16)/3</f>
        <v>2.2833333333333332</v>
      </c>
      <c r="G28" s="452">
        <v>2.27</v>
      </c>
      <c r="H28" s="452">
        <v>3.42</v>
      </c>
      <c r="I28" s="452">
        <v>3.35</v>
      </c>
      <c r="J28" s="607">
        <v>4.43</v>
      </c>
      <c r="K28" s="607">
        <v>3.02</v>
      </c>
      <c r="L28" s="655">
        <v>3.0786666666666669</v>
      </c>
      <c r="M28" s="655">
        <v>4.12</v>
      </c>
      <c r="N28" s="655">
        <v>4.3</v>
      </c>
      <c r="O28" s="655">
        <v>4.3910640000000001</v>
      </c>
      <c r="P28" s="655">
        <v>4.3499999999999996</v>
      </c>
      <c r="Q28" s="655">
        <v>3.5204220000000004</v>
      </c>
      <c r="R28" s="655">
        <v>2.76</v>
      </c>
      <c r="S28" s="655">
        <v>2.76</v>
      </c>
      <c r="T28" s="655">
        <v>3.3690060000000002</v>
      </c>
      <c r="U28" s="655">
        <v>3.28</v>
      </c>
      <c r="V28" s="655">
        <v>2.2712400000000001</v>
      </c>
      <c r="W28" s="495">
        <v>3.3690060000000002</v>
      </c>
      <c r="X28" s="681"/>
      <c r="Y28" s="681"/>
    </row>
    <row r="29" spans="2:25" ht="15" customHeight="1" x14ac:dyDescent="0.3">
      <c r="B29" s="570" t="s">
        <v>93</v>
      </c>
      <c r="C29" s="612">
        <v>1.75</v>
      </c>
      <c r="D29" s="452">
        <f>(1.88+1.86+1.92)/3</f>
        <v>1.8866666666666667</v>
      </c>
      <c r="E29" s="452">
        <v>1.8662000000000001</v>
      </c>
      <c r="F29" s="453">
        <v>2.23</v>
      </c>
      <c r="G29" s="453">
        <v>2.42</v>
      </c>
      <c r="H29" s="453">
        <v>3.4</v>
      </c>
      <c r="I29" s="453">
        <v>3.39</v>
      </c>
      <c r="J29" s="608">
        <v>4.5</v>
      </c>
      <c r="K29" s="608">
        <v>2.86</v>
      </c>
      <c r="L29" s="656">
        <v>3.1458064516129034</v>
      </c>
      <c r="M29" s="656">
        <v>4.1500000000000004</v>
      </c>
      <c r="N29" s="656">
        <v>4.1399999999999997</v>
      </c>
      <c r="O29" s="656">
        <v>4.3153559999999995</v>
      </c>
      <c r="P29" s="656">
        <v>4.28</v>
      </c>
      <c r="Q29" s="656">
        <v>3.59613</v>
      </c>
      <c r="R29" s="656">
        <v>2.65</v>
      </c>
      <c r="S29" s="656">
        <v>2.69</v>
      </c>
      <c r="T29" s="656">
        <v>3.2932980000000001</v>
      </c>
      <c r="U29" s="656">
        <v>3.33</v>
      </c>
      <c r="V29" s="656">
        <v>2.4226559999999999</v>
      </c>
      <c r="W29" s="496">
        <v>3.4825680000000001</v>
      </c>
      <c r="X29" s="681"/>
      <c r="Y29" s="681"/>
    </row>
    <row r="30" spans="2:25" ht="15" customHeight="1" x14ac:dyDescent="0.3">
      <c r="B30" s="570" t="s">
        <v>94</v>
      </c>
      <c r="C30" s="612">
        <v>1.82</v>
      </c>
      <c r="D30" s="452">
        <v>1.89</v>
      </c>
      <c r="E30" s="452">
        <v>1.9601</v>
      </c>
      <c r="F30" s="453">
        <v>2.2200000000000002</v>
      </c>
      <c r="G30" s="453">
        <v>2.66</v>
      </c>
      <c r="H30" s="453">
        <v>3.43</v>
      </c>
      <c r="I30" s="453">
        <v>3.17</v>
      </c>
      <c r="J30" s="608">
        <v>4.18</v>
      </c>
      <c r="K30" s="608">
        <v>3.03</v>
      </c>
      <c r="L30" s="656">
        <v>3.1503225806451614</v>
      </c>
      <c r="M30" s="656">
        <v>4.1900000000000004</v>
      </c>
      <c r="N30" s="656">
        <v>4.38</v>
      </c>
      <c r="O30" s="656">
        <v>4.3532099999999998</v>
      </c>
      <c r="P30" s="656">
        <v>4.09</v>
      </c>
      <c r="Q30" s="656">
        <v>3.2554440000000002</v>
      </c>
      <c r="R30" s="656">
        <v>2.54</v>
      </c>
      <c r="S30" s="656">
        <v>2.84</v>
      </c>
      <c r="T30" s="656">
        <v>3.2932980000000001</v>
      </c>
      <c r="U30" s="656">
        <v>3.03</v>
      </c>
      <c r="V30" s="656">
        <v>2.3848020000000001</v>
      </c>
      <c r="W30" s="496">
        <v>3.4825680000000001</v>
      </c>
      <c r="X30" s="681"/>
      <c r="Y30" s="681"/>
    </row>
    <row r="31" spans="2:25" ht="15" customHeight="1" x14ac:dyDescent="0.3">
      <c r="B31" s="570" t="s">
        <v>101</v>
      </c>
      <c r="C31" s="612">
        <v>1.93</v>
      </c>
      <c r="D31" s="452">
        <v>1.89</v>
      </c>
      <c r="E31" s="452">
        <v>2.0002</v>
      </c>
      <c r="F31" s="453">
        <v>2.16</v>
      </c>
      <c r="G31" s="453">
        <v>3.1</v>
      </c>
      <c r="H31" s="453">
        <v>2.79</v>
      </c>
      <c r="I31" s="453">
        <v>3.17</v>
      </c>
      <c r="J31" s="608">
        <v>4.17</v>
      </c>
      <c r="K31" s="608">
        <v>2.93</v>
      </c>
      <c r="L31" s="656">
        <v>3.0233333333333334</v>
      </c>
      <c r="M31" s="656">
        <v>4.07</v>
      </c>
      <c r="N31" s="656">
        <v>4.55</v>
      </c>
      <c r="O31" s="656">
        <v>4.2396480000000007</v>
      </c>
      <c r="P31" s="656">
        <v>4.05</v>
      </c>
      <c r="Q31" s="656">
        <v>2.7254879999999999</v>
      </c>
      <c r="R31" s="656">
        <v>2.65</v>
      </c>
      <c r="S31" s="656">
        <v>3.12</v>
      </c>
      <c r="T31" s="656">
        <v>3.2554440000000002</v>
      </c>
      <c r="U31" s="656">
        <v>2.95</v>
      </c>
      <c r="V31" s="656">
        <v>2.4605100000000002</v>
      </c>
      <c r="W31" s="496">
        <v>3.4447140000000003</v>
      </c>
      <c r="X31" s="681"/>
      <c r="Y31" s="681"/>
    </row>
    <row r="32" spans="2:25" ht="15" customHeight="1" x14ac:dyDescent="0.3">
      <c r="B32" s="570" t="s">
        <v>95</v>
      </c>
      <c r="C32" s="612">
        <v>1.66</v>
      </c>
      <c r="D32" s="452">
        <f>(1.92+1.96)/2</f>
        <v>1.94</v>
      </c>
      <c r="E32" s="452">
        <v>1.8779999999999999</v>
      </c>
      <c r="F32" s="453">
        <f>(2.32+2.34)/2</f>
        <v>2.33</v>
      </c>
      <c r="G32" s="453">
        <v>3.18</v>
      </c>
      <c r="H32" s="453">
        <v>2.61</v>
      </c>
      <c r="I32" s="453">
        <v>3.14</v>
      </c>
      <c r="J32" s="608">
        <v>3.35</v>
      </c>
      <c r="K32" s="608">
        <v>2.91</v>
      </c>
      <c r="L32" s="656">
        <v>3.1577419354838714</v>
      </c>
      <c r="M32" s="656">
        <v>3.82</v>
      </c>
      <c r="N32" s="656">
        <v>4.46</v>
      </c>
      <c r="O32" s="656">
        <v>3.9746700000000001</v>
      </c>
      <c r="P32" s="656">
        <v>4.09</v>
      </c>
      <c r="Q32" s="656">
        <v>2.6876340000000001</v>
      </c>
      <c r="R32" s="656">
        <v>2.73</v>
      </c>
      <c r="S32" s="656">
        <v>3.05</v>
      </c>
      <c r="T32" s="656">
        <v>3.3311519999999999</v>
      </c>
      <c r="U32" s="656">
        <v>3.03</v>
      </c>
      <c r="V32" s="656">
        <v>2.4605100000000002</v>
      </c>
      <c r="W32" s="496">
        <v>3.59613</v>
      </c>
      <c r="X32" s="681"/>
      <c r="Y32" s="681"/>
    </row>
    <row r="33" spans="2:25" ht="15" customHeight="1" x14ac:dyDescent="0.3">
      <c r="B33" s="570" t="s">
        <v>96</v>
      </c>
      <c r="C33" s="612">
        <v>1.56</v>
      </c>
      <c r="D33" s="452">
        <v>1.88</v>
      </c>
      <c r="E33" s="452">
        <v>1.8794</v>
      </c>
      <c r="F33" s="453">
        <f>(2.38+2.28)/2</f>
        <v>2.33</v>
      </c>
      <c r="G33" s="453">
        <v>2.57</v>
      </c>
      <c r="H33" s="453">
        <v>2.63</v>
      </c>
      <c r="I33" s="453">
        <v>3.41</v>
      </c>
      <c r="J33" s="608">
        <v>2.5499999999999998</v>
      </c>
      <c r="K33" s="608">
        <v>3.08</v>
      </c>
      <c r="L33" s="656">
        <v>3.2613333333333334</v>
      </c>
      <c r="M33" s="656">
        <v>3.84</v>
      </c>
      <c r="N33" s="656">
        <v>3.94</v>
      </c>
      <c r="O33" s="656">
        <v>3.8611080000000002</v>
      </c>
      <c r="P33" s="656">
        <v>3.67</v>
      </c>
      <c r="Q33" s="656">
        <v>2.5740720000000001</v>
      </c>
      <c r="R33" s="656">
        <v>2.61</v>
      </c>
      <c r="S33" s="656">
        <v>3.06</v>
      </c>
      <c r="T33" s="656">
        <v>3.0283200000000003</v>
      </c>
      <c r="U33" s="656">
        <v>2.99</v>
      </c>
      <c r="V33" s="656">
        <v>2.309094</v>
      </c>
      <c r="W33" s="496">
        <v>3.709692</v>
      </c>
      <c r="X33" s="681"/>
      <c r="Y33" s="681"/>
    </row>
    <row r="34" spans="2:25" ht="15" customHeight="1" thickBot="1" x14ac:dyDescent="0.35">
      <c r="B34" s="570" t="s">
        <v>97</v>
      </c>
      <c r="C34" s="613">
        <v>1.5</v>
      </c>
      <c r="D34" s="452">
        <v>1.8</v>
      </c>
      <c r="E34" s="452">
        <v>1.8687</v>
      </c>
      <c r="F34" s="453">
        <f>(2.02+2.15)/2</f>
        <v>2.085</v>
      </c>
      <c r="G34" s="453">
        <v>2.54</v>
      </c>
      <c r="H34" s="453">
        <v>2.7</v>
      </c>
      <c r="I34" s="453">
        <v>3.37</v>
      </c>
      <c r="J34" s="608">
        <v>2.17</v>
      </c>
      <c r="K34" s="608">
        <v>3.02</v>
      </c>
      <c r="L34" s="656">
        <v>3.3596774193548384</v>
      </c>
      <c r="M34" s="656">
        <v>3.74</v>
      </c>
      <c r="N34" s="656">
        <v>3.89</v>
      </c>
      <c r="O34" s="656">
        <v>4.012524</v>
      </c>
      <c r="P34" s="656">
        <v>2.99</v>
      </c>
      <c r="Q34" s="656">
        <v>2.498364</v>
      </c>
      <c r="R34" s="656">
        <v>2.8</v>
      </c>
      <c r="S34" s="656">
        <v>2.97</v>
      </c>
      <c r="T34" s="656">
        <v>2.7633420000000002</v>
      </c>
      <c r="U34" s="656">
        <v>2.95</v>
      </c>
      <c r="V34" s="656">
        <v>2.4605100000000002</v>
      </c>
      <c r="W34" s="496">
        <v>3.40686</v>
      </c>
      <c r="X34" s="681"/>
      <c r="Y34" s="681"/>
    </row>
    <row r="35" spans="2:25" ht="15" customHeight="1" thickBot="1" x14ac:dyDescent="0.3">
      <c r="B35" s="557" t="s">
        <v>99</v>
      </c>
      <c r="C35" s="609">
        <f t="shared" ref="C35:K35" si="1">SUM(C23:C34)/(12)</f>
        <v>1.82</v>
      </c>
      <c r="D35" s="610">
        <f t="shared" si="1"/>
        <v>1.8284722222222225</v>
      </c>
      <c r="E35" s="609">
        <f t="shared" si="1"/>
        <v>1.9105083333333335</v>
      </c>
      <c r="F35" s="609">
        <f t="shared" si="1"/>
        <v>2.1927777777777777</v>
      </c>
      <c r="G35" s="609">
        <f t="shared" si="1"/>
        <v>2.5141666666666667</v>
      </c>
      <c r="H35" s="609">
        <f t="shared" si="1"/>
        <v>2.9824999999999999</v>
      </c>
      <c r="I35" s="610">
        <f>SUM(I23:I34)/(12)</f>
        <v>3.1366666666666672</v>
      </c>
      <c r="J35" s="610">
        <f>SUM(J23:J34)/(12)</f>
        <v>3.6833333333333331</v>
      </c>
      <c r="K35" s="610">
        <f t="shared" si="1"/>
        <v>2.7650000000000006</v>
      </c>
      <c r="L35" s="609">
        <v>3.1909953917050689</v>
      </c>
      <c r="M35" s="609">
        <v>3.97</v>
      </c>
      <c r="N35" s="609">
        <v>4.28</v>
      </c>
      <c r="O35" s="609">
        <v>4.2300000000000004</v>
      </c>
      <c r="P35" s="609">
        <v>4.04</v>
      </c>
      <c r="Q35" s="609">
        <v>2.96</v>
      </c>
      <c r="R35" s="609">
        <v>2.59</v>
      </c>
      <c r="S35" s="609">
        <v>2.89</v>
      </c>
      <c r="T35" s="609">
        <v>3.18</v>
      </c>
      <c r="U35" s="609">
        <v>3.05</v>
      </c>
      <c r="V35" s="609">
        <v>2.4300000000000002</v>
      </c>
      <c r="W35" s="611">
        <v>3.3</v>
      </c>
      <c r="X35" s="681"/>
      <c r="Y35" s="681"/>
    </row>
    <row r="36" spans="2:25" ht="15" customHeight="1" thickBot="1" x14ac:dyDescent="0.3">
      <c r="C36" s="43"/>
      <c r="D36" s="43"/>
      <c r="E36" s="43"/>
      <c r="F36" s="43"/>
      <c r="G36" s="43"/>
      <c r="H36" s="43"/>
      <c r="I36" s="43"/>
      <c r="J36" s="43"/>
      <c r="K36" s="43"/>
      <c r="N36" s="677"/>
      <c r="O36" s="677"/>
      <c r="P36"/>
      <c r="R36" s="681"/>
      <c r="W36" s="681"/>
      <c r="X36" s="681"/>
      <c r="Y36" s="681"/>
    </row>
    <row r="37" spans="2:25" ht="15" customHeight="1" x14ac:dyDescent="0.25">
      <c r="B37" s="930" t="s">
        <v>39</v>
      </c>
      <c r="C37" s="916" t="s">
        <v>211</v>
      </c>
      <c r="D37" s="918"/>
      <c r="E37" s="918"/>
      <c r="F37" s="918"/>
      <c r="G37" s="918"/>
      <c r="H37" s="918"/>
      <c r="I37" s="918"/>
      <c r="J37" s="918"/>
      <c r="K37" s="918"/>
      <c r="L37" s="917"/>
      <c r="N37" s="677"/>
      <c r="O37" s="677"/>
      <c r="P37"/>
      <c r="X37" s="681"/>
      <c r="Y37" s="681"/>
    </row>
    <row r="38" spans="2:25" ht="15" customHeight="1" thickBot="1" x14ac:dyDescent="0.3">
      <c r="B38" s="931"/>
      <c r="C38" s="590">
        <v>2001</v>
      </c>
      <c r="D38" s="589">
        <v>2002</v>
      </c>
      <c r="E38" s="589">
        <v>2003</v>
      </c>
      <c r="F38" s="589">
        <v>2004</v>
      </c>
      <c r="G38" s="589">
        <v>2005</v>
      </c>
      <c r="H38" s="589">
        <v>2006</v>
      </c>
      <c r="I38" s="588">
        <v>2007</v>
      </c>
      <c r="J38" s="588">
        <v>2008</v>
      </c>
      <c r="K38" s="588">
        <v>2009</v>
      </c>
      <c r="L38" s="552">
        <v>2010</v>
      </c>
      <c r="M38"/>
      <c r="X38" s="681"/>
      <c r="Y38" s="681"/>
    </row>
    <row r="39" spans="2:25" s="47" customFormat="1" ht="15" customHeight="1" x14ac:dyDescent="0.3">
      <c r="B39" s="606" t="s">
        <v>144</v>
      </c>
      <c r="C39" s="612">
        <v>1.51</v>
      </c>
      <c r="D39" s="452">
        <f>(1.1+1.14)/2</f>
        <v>1.1200000000000001</v>
      </c>
      <c r="E39" s="452">
        <v>1.4573</v>
      </c>
      <c r="F39" s="452">
        <f>(1.48+1.48+1.55)/3</f>
        <v>1.5033333333333332</v>
      </c>
      <c r="G39" s="452">
        <v>1.76</v>
      </c>
      <c r="H39" s="452">
        <v>2.2599999999999998</v>
      </c>
      <c r="I39" s="452">
        <v>2.15</v>
      </c>
      <c r="J39" s="607">
        <v>3.17</v>
      </c>
      <c r="K39" s="616">
        <v>2.06</v>
      </c>
      <c r="L39" s="652">
        <v>2.6712903225806452</v>
      </c>
      <c r="M39"/>
      <c r="X39" s="816"/>
      <c r="Y39" s="816"/>
    </row>
    <row r="40" spans="2:25" ht="15" customHeight="1" x14ac:dyDescent="0.3">
      <c r="B40" s="570" t="s">
        <v>87</v>
      </c>
      <c r="C40" s="612">
        <v>1.51</v>
      </c>
      <c r="D40" s="452">
        <v>1.1200000000000001</v>
      </c>
      <c r="E40" s="452">
        <v>1.5562</v>
      </c>
      <c r="F40" s="452">
        <f>(1.5+1.55)/2</f>
        <v>1.5249999999999999</v>
      </c>
      <c r="G40" s="452">
        <v>1.81</v>
      </c>
      <c r="H40" s="452">
        <v>2.2999999999999998</v>
      </c>
      <c r="I40" s="452">
        <v>2.19</v>
      </c>
      <c r="J40" s="607">
        <v>3.19</v>
      </c>
      <c r="K40" s="607">
        <v>1.91</v>
      </c>
      <c r="L40" s="650">
        <v>2.569285714285714</v>
      </c>
      <c r="M40"/>
      <c r="X40" s="681"/>
      <c r="Y40" s="681"/>
    </row>
    <row r="41" spans="2:25" ht="15" customHeight="1" x14ac:dyDescent="0.3">
      <c r="B41" s="570" t="s">
        <v>88</v>
      </c>
      <c r="C41" s="613">
        <v>1.4</v>
      </c>
      <c r="D41" s="452">
        <f>(1.17+1.24)/2</f>
        <v>1.2050000000000001</v>
      </c>
      <c r="E41" s="452">
        <v>1.6501999999999999</v>
      </c>
      <c r="F41" s="452">
        <f>(1.52+1.52)/2</f>
        <v>1.52</v>
      </c>
      <c r="G41" s="452">
        <v>2.0699999999999998</v>
      </c>
      <c r="H41" s="452">
        <v>2.27</v>
      </c>
      <c r="I41" s="452">
        <v>2.27</v>
      </c>
      <c r="J41" s="607">
        <v>3.58</v>
      </c>
      <c r="K41" s="607">
        <v>1.84</v>
      </c>
      <c r="L41" s="650">
        <v>2.649354838709677</v>
      </c>
      <c r="M41"/>
      <c r="X41" s="681"/>
      <c r="Y41" s="681"/>
    </row>
    <row r="42" spans="2:25" ht="15" customHeight="1" x14ac:dyDescent="0.3">
      <c r="B42" s="570" t="s">
        <v>145</v>
      </c>
      <c r="C42" s="613">
        <v>1.4</v>
      </c>
      <c r="D42" s="452">
        <f>(1.28+1.31)/2</f>
        <v>1.2949999999999999</v>
      </c>
      <c r="E42" s="452">
        <v>1.3626</v>
      </c>
      <c r="F42" s="452">
        <f>(1.5+1.51)/2</f>
        <v>1.5049999999999999</v>
      </c>
      <c r="G42" s="452">
        <v>2.02</v>
      </c>
      <c r="H42" s="452">
        <v>2.54</v>
      </c>
      <c r="I42" s="452">
        <v>2.39</v>
      </c>
      <c r="J42" s="607">
        <v>3.7</v>
      </c>
      <c r="K42" s="607">
        <v>2</v>
      </c>
      <c r="L42" s="650">
        <v>2.7636666666666665</v>
      </c>
      <c r="M42"/>
      <c r="X42" s="681"/>
      <c r="Y42" s="681"/>
    </row>
    <row r="43" spans="2:25" ht="15" customHeight="1" x14ac:dyDescent="0.3">
      <c r="B43" s="570" t="s">
        <v>90</v>
      </c>
      <c r="C43" s="612">
        <v>1.41</v>
      </c>
      <c r="D43" s="452">
        <f>(1.29+1.29)/2</f>
        <v>1.29</v>
      </c>
      <c r="E43" s="452">
        <v>1.3083</v>
      </c>
      <c r="F43" s="452">
        <f>(1.57+1.52)/2</f>
        <v>1.5449999999999999</v>
      </c>
      <c r="G43" s="452">
        <v>1.87</v>
      </c>
      <c r="H43" s="452">
        <v>2.59</v>
      </c>
      <c r="I43" s="452">
        <v>2.42</v>
      </c>
      <c r="J43" s="607">
        <v>4.0199999999999996</v>
      </c>
      <c r="K43" s="607">
        <v>2.02</v>
      </c>
      <c r="L43" s="650">
        <v>2.8006451612903227</v>
      </c>
      <c r="M43"/>
      <c r="X43" s="681"/>
      <c r="Y43" s="681"/>
    </row>
    <row r="44" spans="2:25" ht="15" customHeight="1" x14ac:dyDescent="0.3">
      <c r="B44" s="570" t="s">
        <v>91</v>
      </c>
      <c r="C44" s="612">
        <v>1.38</v>
      </c>
      <c r="D44" s="452">
        <f>(1.31+1.28)/2</f>
        <v>1.2949999999999999</v>
      </c>
      <c r="E44" s="452">
        <v>1.3261000000000001</v>
      </c>
      <c r="F44" s="452">
        <f>(1.62+1.6+1.67)/3</f>
        <v>1.6300000000000001</v>
      </c>
      <c r="G44" s="452">
        <v>1.92</v>
      </c>
      <c r="H44" s="452">
        <v>2.5</v>
      </c>
      <c r="I44" s="452">
        <v>2.54</v>
      </c>
      <c r="J44" s="607">
        <v>4.4800000000000004</v>
      </c>
      <c r="K44" s="607">
        <v>2.2999999999999998</v>
      </c>
      <c r="L44" s="650">
        <v>2.5886666666666667</v>
      </c>
      <c r="M44"/>
      <c r="X44" s="681"/>
      <c r="Y44" s="681"/>
    </row>
    <row r="45" spans="2:25" ht="15" customHeight="1" x14ac:dyDescent="0.3">
      <c r="B45" s="570" t="s">
        <v>93</v>
      </c>
      <c r="C45" s="612">
        <v>1.35</v>
      </c>
      <c r="D45" s="452">
        <f>(1.28+1.28+1.31)/3</f>
        <v>1.29</v>
      </c>
      <c r="E45" s="452">
        <v>1.343</v>
      </c>
      <c r="F45" s="453">
        <v>1.66</v>
      </c>
      <c r="G45" s="453">
        <v>2.12</v>
      </c>
      <c r="H45" s="453">
        <v>2.5</v>
      </c>
      <c r="I45" s="453">
        <v>2.62</v>
      </c>
      <c r="J45" s="608">
        <v>4.5999999999999996</v>
      </c>
      <c r="K45" s="608">
        <v>2.27</v>
      </c>
      <c r="L45" s="650">
        <v>2.6374193548387095</v>
      </c>
      <c r="M45"/>
      <c r="X45" s="681"/>
      <c r="Y45" s="681"/>
    </row>
    <row r="46" spans="2:25" ht="15" customHeight="1" x14ac:dyDescent="0.3">
      <c r="B46" s="570" t="s">
        <v>94</v>
      </c>
      <c r="C46" s="612">
        <v>1.39</v>
      </c>
      <c r="D46" s="452">
        <v>1.28</v>
      </c>
      <c r="E46" s="452">
        <v>1.3835</v>
      </c>
      <c r="F46" s="453">
        <v>1.67</v>
      </c>
      <c r="G46" s="453">
        <v>2.14</v>
      </c>
      <c r="H46" s="453">
        <v>2.57</v>
      </c>
      <c r="I46" s="453">
        <v>2.46</v>
      </c>
      <c r="J46" s="608">
        <v>4.01</v>
      </c>
      <c r="K46" s="608">
        <v>2.48</v>
      </c>
      <c r="L46" s="650">
        <v>2.6664516129032259</v>
      </c>
      <c r="M46"/>
      <c r="X46" s="681"/>
      <c r="Y46" s="681"/>
    </row>
    <row r="47" spans="2:25" ht="15" customHeight="1" x14ac:dyDescent="0.3">
      <c r="B47" s="570" t="s">
        <v>101</v>
      </c>
      <c r="C47" s="612">
        <v>1.45</v>
      </c>
      <c r="D47" s="452">
        <v>1.34</v>
      </c>
      <c r="E47" s="452">
        <v>1.3652</v>
      </c>
      <c r="F47" s="453">
        <v>1.68</v>
      </c>
      <c r="G47" s="453">
        <v>2.34</v>
      </c>
      <c r="H47" s="453">
        <v>2.4</v>
      </c>
      <c r="I47" s="453">
        <v>2.63</v>
      </c>
      <c r="J47" s="608">
        <v>3.88</v>
      </c>
      <c r="K47" s="608">
        <v>2.38</v>
      </c>
      <c r="L47" s="650">
        <v>2.6480000000000001</v>
      </c>
      <c r="M47"/>
      <c r="X47" s="681"/>
      <c r="Y47" s="681"/>
    </row>
    <row r="48" spans="2:25" ht="15" customHeight="1" x14ac:dyDescent="0.3">
      <c r="B48" s="570" t="s">
        <v>95</v>
      </c>
      <c r="C48" s="612">
        <v>1.28</v>
      </c>
      <c r="D48" s="452">
        <f>(1.4+1.4)/2</f>
        <v>1.4</v>
      </c>
      <c r="E48" s="452">
        <v>1.3576999999999999</v>
      </c>
      <c r="F48" s="453">
        <f>(1.83+1.92)/2</f>
        <v>1.875</v>
      </c>
      <c r="G48" s="453">
        <v>2.61</v>
      </c>
      <c r="H48" s="453">
        <v>2.21</v>
      </c>
      <c r="I48" s="453">
        <v>2.76</v>
      </c>
      <c r="J48" s="608">
        <v>3.15</v>
      </c>
      <c r="K48" s="608">
        <v>2.44</v>
      </c>
      <c r="L48" s="650">
        <v>2.7916129032258064</v>
      </c>
      <c r="M48"/>
      <c r="X48" s="681"/>
      <c r="Y48" s="681"/>
    </row>
    <row r="49" spans="2:25" ht="15" customHeight="1" x14ac:dyDescent="0.3">
      <c r="B49" s="570" t="s">
        <v>96</v>
      </c>
      <c r="C49" s="612">
        <v>1.18</v>
      </c>
      <c r="D49" s="452">
        <v>1.34</v>
      </c>
      <c r="E49" s="452">
        <v>1.3976</v>
      </c>
      <c r="F49" s="453">
        <f>(2.06+1.92)/2</f>
        <v>1.99</v>
      </c>
      <c r="G49" s="453">
        <v>2.35</v>
      </c>
      <c r="H49" s="453">
        <v>2.19</v>
      </c>
      <c r="I49" s="453">
        <v>3</v>
      </c>
      <c r="J49" s="608">
        <v>2.56</v>
      </c>
      <c r="K49" s="608">
        <v>2.62</v>
      </c>
      <c r="L49" s="650">
        <v>2.8956666666666666</v>
      </c>
      <c r="M49"/>
      <c r="X49" s="681"/>
      <c r="Y49" s="681"/>
    </row>
    <row r="50" spans="2:25" ht="15" customHeight="1" thickBot="1" x14ac:dyDescent="0.35">
      <c r="B50" s="570" t="s">
        <v>97</v>
      </c>
      <c r="C50" s="613">
        <v>1.1000000000000001</v>
      </c>
      <c r="D50" s="452">
        <v>1.32</v>
      </c>
      <c r="E50" s="452">
        <v>1.4449000000000001</v>
      </c>
      <c r="F50" s="453">
        <f>(1.8+1.77)/2</f>
        <v>1.7850000000000001</v>
      </c>
      <c r="G50" s="453">
        <v>2.19</v>
      </c>
      <c r="H50" s="453">
        <v>2.23</v>
      </c>
      <c r="I50" s="453">
        <v>3.15</v>
      </c>
      <c r="J50" s="608">
        <v>2.13</v>
      </c>
      <c r="K50" s="617">
        <v>2.58</v>
      </c>
      <c r="L50" s="651">
        <v>2.9654838709677418</v>
      </c>
      <c r="M50"/>
      <c r="X50" s="681"/>
      <c r="Y50" s="681"/>
    </row>
    <row r="51" spans="2:25" ht="15" customHeight="1" thickBot="1" x14ac:dyDescent="0.3">
      <c r="B51" s="557" t="s">
        <v>99</v>
      </c>
      <c r="C51" s="609">
        <f t="shared" ref="C51:K51" si="2">SUM(C39:C50)/(12)</f>
        <v>1.3633333333333333</v>
      </c>
      <c r="D51" s="610">
        <f t="shared" si="2"/>
        <v>1.2745833333333334</v>
      </c>
      <c r="E51" s="609">
        <f t="shared" si="2"/>
        <v>1.4127166666666666</v>
      </c>
      <c r="F51" s="609">
        <f t="shared" si="2"/>
        <v>1.6573611111111111</v>
      </c>
      <c r="G51" s="609">
        <f t="shared" si="2"/>
        <v>2.1</v>
      </c>
      <c r="H51" s="609">
        <f t="shared" si="2"/>
        <v>2.3800000000000003</v>
      </c>
      <c r="I51" s="610">
        <f>SUM(I39:I50)/(12)</f>
        <v>2.5483333333333333</v>
      </c>
      <c r="J51" s="610">
        <f>SUM(J39:J50)/(12)</f>
        <v>3.539166666666667</v>
      </c>
      <c r="K51" s="610">
        <f t="shared" si="2"/>
        <v>2.2416666666666667</v>
      </c>
      <c r="L51" s="649">
        <v>2.7206286482334874</v>
      </c>
      <c r="M51"/>
      <c r="X51" s="681"/>
      <c r="Y51" s="681"/>
    </row>
    <row r="52" spans="2:25" ht="15" customHeight="1" thickBot="1" x14ac:dyDescent="0.3">
      <c r="C52" s="43"/>
      <c r="D52" s="43"/>
      <c r="E52" s="43"/>
      <c r="F52" s="43"/>
      <c r="G52" s="43"/>
      <c r="H52" s="43"/>
      <c r="I52" s="43"/>
      <c r="J52" s="43"/>
      <c r="K52" s="43"/>
      <c r="M52"/>
      <c r="X52" s="681"/>
      <c r="Y52" s="681"/>
    </row>
    <row r="53" spans="2:25" ht="15" customHeight="1" thickBot="1" x14ac:dyDescent="0.3">
      <c r="B53" s="930" t="s">
        <v>39</v>
      </c>
      <c r="C53" s="919" t="s">
        <v>231</v>
      </c>
      <c r="D53" s="920"/>
      <c r="E53" s="920"/>
      <c r="F53" s="920"/>
      <c r="G53" s="920"/>
      <c r="H53" s="920"/>
      <c r="I53" s="920"/>
      <c r="J53" s="920"/>
      <c r="K53" s="920"/>
      <c r="L53" s="920"/>
      <c r="M53" s="920"/>
      <c r="N53" s="920"/>
      <c r="O53" s="920"/>
      <c r="P53" s="920"/>
      <c r="Q53" s="920"/>
      <c r="R53" s="920"/>
      <c r="S53" s="920"/>
      <c r="T53" s="920"/>
      <c r="U53" s="920"/>
      <c r="V53" s="920"/>
      <c r="W53" s="921"/>
      <c r="X53" s="681"/>
      <c r="Y53" s="681"/>
    </row>
    <row r="54" spans="2:25" ht="15" customHeight="1" thickBot="1" x14ac:dyDescent="0.3">
      <c r="B54" s="931"/>
      <c r="C54" s="831">
        <v>2001</v>
      </c>
      <c r="D54" s="684">
        <v>2002</v>
      </c>
      <c r="E54" s="684">
        <v>2003</v>
      </c>
      <c r="F54" s="684">
        <v>2004</v>
      </c>
      <c r="G54" s="684">
        <v>2005</v>
      </c>
      <c r="H54" s="684">
        <v>2006</v>
      </c>
      <c r="I54" s="683">
        <v>2007</v>
      </c>
      <c r="J54" s="683">
        <v>2008</v>
      </c>
      <c r="K54" s="683">
        <v>2009</v>
      </c>
      <c r="L54" s="684">
        <v>2010</v>
      </c>
      <c r="M54" s="684">
        <v>2011</v>
      </c>
      <c r="N54" s="684">
        <v>2012</v>
      </c>
      <c r="O54" s="684">
        <v>2013</v>
      </c>
      <c r="P54" s="684">
        <v>2014</v>
      </c>
      <c r="Q54" s="684">
        <v>2015</v>
      </c>
      <c r="R54" s="684">
        <v>2016</v>
      </c>
      <c r="S54" s="684">
        <v>2017</v>
      </c>
      <c r="T54" s="684">
        <v>2018</v>
      </c>
      <c r="U54" s="684">
        <v>2019</v>
      </c>
      <c r="V54" s="684">
        <v>2020</v>
      </c>
      <c r="W54" s="627">
        <v>2021</v>
      </c>
      <c r="X54" s="681"/>
      <c r="Y54" s="681"/>
    </row>
    <row r="55" spans="2:25" ht="15" customHeight="1" x14ac:dyDescent="0.3">
      <c r="B55" s="606" t="s">
        <v>144</v>
      </c>
      <c r="C55" s="613">
        <v>1.6</v>
      </c>
      <c r="D55" s="219">
        <v>1.21</v>
      </c>
      <c r="E55" s="219">
        <v>1.52</v>
      </c>
      <c r="F55" s="219">
        <v>1.56</v>
      </c>
      <c r="G55" s="219">
        <v>1.77</v>
      </c>
      <c r="H55" s="452">
        <v>2.27</v>
      </c>
      <c r="I55" s="219">
        <v>2.17</v>
      </c>
      <c r="J55" s="607">
        <v>3.21</v>
      </c>
      <c r="K55" s="618">
        <v>2.09</v>
      </c>
      <c r="L55" s="218">
        <v>2.7274193548387098</v>
      </c>
      <c r="M55" s="218">
        <v>3.2</v>
      </c>
      <c r="N55" s="218">
        <v>3.7</v>
      </c>
      <c r="O55" s="218">
        <v>3.7854000000000001</v>
      </c>
      <c r="P55" s="218">
        <v>3.71</v>
      </c>
      <c r="Q55" s="218">
        <v>2.3469480000000003</v>
      </c>
      <c r="R55" s="218">
        <v>1.78</v>
      </c>
      <c r="S55" s="218">
        <v>2.31</v>
      </c>
      <c r="T55" s="218">
        <v>2.7633420000000002</v>
      </c>
      <c r="U55" s="218">
        <v>2.5</v>
      </c>
      <c r="V55" s="218">
        <v>2.7633420000000002</v>
      </c>
      <c r="W55" s="211">
        <v>2.309094</v>
      </c>
      <c r="X55" s="681"/>
      <c r="Y55" s="681"/>
    </row>
    <row r="56" spans="2:25" ht="15" customHeight="1" x14ac:dyDescent="0.3">
      <c r="B56" s="570" t="s">
        <v>87</v>
      </c>
      <c r="C56" s="612">
        <v>1.61</v>
      </c>
      <c r="D56" s="219">
        <v>1.2</v>
      </c>
      <c r="E56" s="219">
        <v>1.62</v>
      </c>
      <c r="F56" s="219">
        <v>1.54</v>
      </c>
      <c r="G56" s="219">
        <v>1.82</v>
      </c>
      <c r="H56" s="452">
        <v>2.3199999999999998</v>
      </c>
      <c r="I56" s="219">
        <v>2.21</v>
      </c>
      <c r="J56" s="607">
        <v>3.21</v>
      </c>
      <c r="K56" s="618">
        <v>1.94</v>
      </c>
      <c r="L56" s="218">
        <v>2.6457142857142855</v>
      </c>
      <c r="M56" s="218">
        <v>3.43</v>
      </c>
      <c r="N56" s="218">
        <v>3.78</v>
      </c>
      <c r="O56" s="218">
        <v>3.9746700000000001</v>
      </c>
      <c r="P56" s="218">
        <v>3.71</v>
      </c>
      <c r="Q56" s="218">
        <v>2.4605100000000002</v>
      </c>
      <c r="R56" s="218">
        <v>1.82</v>
      </c>
      <c r="S56" s="218">
        <v>2.35</v>
      </c>
      <c r="T56" s="218">
        <v>2.7633420000000002</v>
      </c>
      <c r="U56" s="218">
        <v>2.69</v>
      </c>
      <c r="V56" s="218">
        <v>2.498364</v>
      </c>
      <c r="W56" s="211">
        <v>2.4226559999999999</v>
      </c>
      <c r="X56" s="681"/>
      <c r="Y56" s="681"/>
    </row>
    <row r="57" spans="2:25" ht="15" customHeight="1" x14ac:dyDescent="0.3">
      <c r="B57" s="570" t="s">
        <v>88</v>
      </c>
      <c r="C57" s="612">
        <v>1.51</v>
      </c>
      <c r="D57" s="219">
        <v>1.28</v>
      </c>
      <c r="E57" s="219">
        <v>1.71</v>
      </c>
      <c r="F57" s="219">
        <v>1.59</v>
      </c>
      <c r="G57" s="219">
        <v>2.09</v>
      </c>
      <c r="H57" s="452">
        <v>2.2999999999999998</v>
      </c>
      <c r="I57" s="219">
        <v>2.29</v>
      </c>
      <c r="J57" s="607">
        <v>3.6</v>
      </c>
      <c r="K57" s="618">
        <v>1.87</v>
      </c>
      <c r="L57" s="218">
        <v>2.7483870967741937</v>
      </c>
      <c r="M57" s="218">
        <v>3.65</v>
      </c>
      <c r="N57" s="218">
        <v>3.99</v>
      </c>
      <c r="O57" s="218">
        <v>3.8611080000000002</v>
      </c>
      <c r="P57" s="218">
        <v>3.71</v>
      </c>
      <c r="Q57" s="218">
        <v>2.5740720000000001</v>
      </c>
      <c r="R57" s="218">
        <v>1.89</v>
      </c>
      <c r="S57" s="218">
        <v>2.35</v>
      </c>
      <c r="T57" s="218">
        <v>2.6497799999999998</v>
      </c>
      <c r="U57" s="218">
        <v>2.8</v>
      </c>
      <c r="V57" s="218">
        <v>2.2712400000000001</v>
      </c>
      <c r="W57" s="211">
        <v>2.6497799999999998</v>
      </c>
      <c r="X57" s="681"/>
      <c r="Y57" s="681"/>
    </row>
    <row r="58" spans="2:25" ht="15" customHeight="1" x14ac:dyDescent="0.3">
      <c r="B58" s="570" t="s">
        <v>145</v>
      </c>
      <c r="C58" s="612">
        <v>1.49</v>
      </c>
      <c r="D58" s="219">
        <v>1.35</v>
      </c>
      <c r="E58" s="219">
        <v>1.42</v>
      </c>
      <c r="F58" s="219">
        <v>1.57</v>
      </c>
      <c r="G58" s="219">
        <v>2.0299999999999998</v>
      </c>
      <c r="H58" s="452">
        <v>2.56</v>
      </c>
      <c r="I58" s="219">
        <v>2.41</v>
      </c>
      <c r="J58" s="607">
        <v>3.72</v>
      </c>
      <c r="K58" s="618">
        <v>2.0299999999999998</v>
      </c>
      <c r="L58" s="218">
        <v>2.8489999999999998</v>
      </c>
      <c r="M58" s="218">
        <v>3.79</v>
      </c>
      <c r="N58" s="218">
        <v>3.94</v>
      </c>
      <c r="O58" s="218">
        <v>3.7475460000000003</v>
      </c>
      <c r="P58" s="218">
        <v>3.67</v>
      </c>
      <c r="Q58" s="218">
        <v>2.4605100000000002</v>
      </c>
      <c r="R58" s="218">
        <v>1.89</v>
      </c>
      <c r="S58" s="218">
        <v>2.31</v>
      </c>
      <c r="T58" s="218">
        <v>2.7633420000000002</v>
      </c>
      <c r="U58" s="218">
        <v>2.8</v>
      </c>
      <c r="V58" s="218">
        <v>1.5898680000000001</v>
      </c>
      <c r="W58" s="211">
        <v>2.611926</v>
      </c>
      <c r="X58" s="681"/>
      <c r="Y58" s="681"/>
    </row>
    <row r="59" spans="2:25" ht="15" customHeight="1" x14ac:dyDescent="0.3">
      <c r="B59" s="570" t="s">
        <v>90</v>
      </c>
      <c r="C59" s="612">
        <v>1.51</v>
      </c>
      <c r="D59" s="219">
        <v>1.35</v>
      </c>
      <c r="E59" s="219">
        <v>1.37</v>
      </c>
      <c r="F59" s="219">
        <v>1.61</v>
      </c>
      <c r="G59" s="219">
        <v>1.89</v>
      </c>
      <c r="H59" s="452">
        <v>2.61</v>
      </c>
      <c r="I59" s="219">
        <v>2.4500000000000002</v>
      </c>
      <c r="J59" s="607">
        <v>4.05</v>
      </c>
      <c r="K59" s="618">
        <v>2.1</v>
      </c>
      <c r="L59" s="218">
        <v>2.8970967741935483</v>
      </c>
      <c r="M59" s="218">
        <v>3.79</v>
      </c>
      <c r="N59" s="218">
        <v>3.83</v>
      </c>
      <c r="O59" s="218">
        <v>3.59613</v>
      </c>
      <c r="P59" s="218">
        <v>3.71</v>
      </c>
      <c r="Q59" s="218">
        <v>2.6497799999999998</v>
      </c>
      <c r="R59" s="218">
        <v>2.08</v>
      </c>
      <c r="S59" s="218">
        <v>2.27</v>
      </c>
      <c r="T59" s="218">
        <v>2.9526120000000002</v>
      </c>
      <c r="U59" s="218">
        <v>2.87</v>
      </c>
      <c r="V59" s="218">
        <v>1.6277220000000001</v>
      </c>
      <c r="W59" s="211">
        <v>2.7633420000000002</v>
      </c>
      <c r="X59" s="681"/>
      <c r="Y59" s="681"/>
    </row>
    <row r="60" spans="2:25" ht="15" customHeight="1" x14ac:dyDescent="0.3">
      <c r="B60" s="570" t="s">
        <v>91</v>
      </c>
      <c r="C60" s="612">
        <v>1.49</v>
      </c>
      <c r="D60" s="219">
        <v>1.36</v>
      </c>
      <c r="E60" s="219">
        <v>1.39</v>
      </c>
      <c r="F60" s="219">
        <v>1.64</v>
      </c>
      <c r="G60" s="219">
        <v>1.93</v>
      </c>
      <c r="H60" s="452">
        <v>2.5299999999999998</v>
      </c>
      <c r="I60" s="219">
        <v>2.57</v>
      </c>
      <c r="J60" s="607">
        <v>4.49</v>
      </c>
      <c r="K60" s="618">
        <v>2.36</v>
      </c>
      <c r="L60" s="218">
        <v>2.6693333333333333</v>
      </c>
      <c r="M60" s="218">
        <v>3.76</v>
      </c>
      <c r="N60" s="218">
        <v>3.59</v>
      </c>
      <c r="O60" s="218">
        <v>3.5582759999999998</v>
      </c>
      <c r="P60" s="218">
        <v>3.67</v>
      </c>
      <c r="Q60" s="218">
        <v>2.611926</v>
      </c>
      <c r="R60" s="218">
        <v>2.23</v>
      </c>
      <c r="S60" s="218">
        <v>2.23</v>
      </c>
      <c r="T60" s="218">
        <v>2.9526120000000002</v>
      </c>
      <c r="U60" s="218">
        <v>2.97</v>
      </c>
      <c r="V60" s="218">
        <v>1.8169919999999999</v>
      </c>
      <c r="W60" s="211">
        <v>2.8769040000000001</v>
      </c>
      <c r="X60" s="681"/>
      <c r="Y60" s="681"/>
    </row>
    <row r="61" spans="2:25" ht="15" customHeight="1" x14ac:dyDescent="0.25">
      <c r="B61" s="570" t="s">
        <v>93</v>
      </c>
      <c r="C61" s="612">
        <v>1.45</v>
      </c>
      <c r="D61" s="219">
        <v>1.35</v>
      </c>
      <c r="E61" s="219">
        <v>1.4</v>
      </c>
      <c r="F61" s="219">
        <v>1.7</v>
      </c>
      <c r="G61" s="219">
        <v>2.13</v>
      </c>
      <c r="H61" s="453">
        <v>2.52</v>
      </c>
      <c r="I61" s="219">
        <v>2.64</v>
      </c>
      <c r="J61" s="608">
        <v>4.62</v>
      </c>
      <c r="K61" s="618">
        <v>2.37</v>
      </c>
      <c r="L61" s="218">
        <v>2.7216129032258065</v>
      </c>
      <c r="M61" s="218">
        <v>3.75</v>
      </c>
      <c r="N61" s="218">
        <v>3.52</v>
      </c>
      <c r="O61" s="218">
        <v>3.6339839999999999</v>
      </c>
      <c r="P61" s="218">
        <v>3.63</v>
      </c>
      <c r="Q61" s="218">
        <v>2.4605100000000002</v>
      </c>
      <c r="R61" s="218">
        <v>2.16</v>
      </c>
      <c r="S61" s="218">
        <v>2.2000000000000002</v>
      </c>
      <c r="T61" s="218">
        <v>2.914758</v>
      </c>
      <c r="U61" s="218">
        <v>3.1</v>
      </c>
      <c r="V61" s="218">
        <v>1.9684080000000002</v>
      </c>
      <c r="W61" s="211">
        <v>2.8769040000000001</v>
      </c>
      <c r="X61" s="681"/>
      <c r="Y61" s="681"/>
    </row>
    <row r="62" spans="2:25" ht="15" customHeight="1" x14ac:dyDescent="0.25">
      <c r="B62" s="570" t="s">
        <v>94</v>
      </c>
      <c r="C62" s="612">
        <v>1.45</v>
      </c>
      <c r="D62" s="219">
        <v>1.33</v>
      </c>
      <c r="E62" s="219">
        <v>1.44</v>
      </c>
      <c r="F62" s="219">
        <v>1.67</v>
      </c>
      <c r="G62" s="219">
        <v>2.15</v>
      </c>
      <c r="H62" s="453">
        <v>2.59</v>
      </c>
      <c r="I62" s="219">
        <v>2.6</v>
      </c>
      <c r="J62" s="608">
        <v>4.05</v>
      </c>
      <c r="K62" s="618">
        <v>2.56</v>
      </c>
      <c r="L62" s="218">
        <v>2.7770967741935486</v>
      </c>
      <c r="M62" s="218">
        <v>3.7</v>
      </c>
      <c r="N62" s="218">
        <v>3.78</v>
      </c>
      <c r="O62" s="218">
        <v>3.7475460000000003</v>
      </c>
      <c r="P62" s="218">
        <v>3.63</v>
      </c>
      <c r="Q62" s="218">
        <v>2.309094</v>
      </c>
      <c r="R62" s="218">
        <v>2.04</v>
      </c>
      <c r="S62" s="218">
        <v>2.35</v>
      </c>
      <c r="T62" s="218">
        <v>2.914758</v>
      </c>
      <c r="U62" s="218">
        <v>2.65</v>
      </c>
      <c r="V62" s="218">
        <v>2.0441160000000003</v>
      </c>
      <c r="W62" s="211">
        <v>2.8390500000000003</v>
      </c>
      <c r="X62" s="681"/>
      <c r="Y62" s="681"/>
    </row>
    <row r="63" spans="2:25" ht="15" customHeight="1" x14ac:dyDescent="0.25">
      <c r="B63" s="570" t="s">
        <v>101</v>
      </c>
      <c r="C63" s="613">
        <v>1.5</v>
      </c>
      <c r="D63" s="219">
        <v>1.39</v>
      </c>
      <c r="E63" s="219">
        <v>1.43</v>
      </c>
      <c r="F63" s="219">
        <v>1.69</v>
      </c>
      <c r="G63" s="219">
        <v>2.35</v>
      </c>
      <c r="H63" s="453">
        <v>2.4300000000000002</v>
      </c>
      <c r="I63" s="219">
        <v>2.65</v>
      </c>
      <c r="J63" s="608">
        <v>3.9</v>
      </c>
      <c r="K63" s="618">
        <v>2.4500000000000002</v>
      </c>
      <c r="L63" s="218">
        <v>2.726</v>
      </c>
      <c r="M63" s="218">
        <v>3.69</v>
      </c>
      <c r="N63" s="218">
        <v>3.94</v>
      </c>
      <c r="O63" s="218">
        <v>3.8232539999999999</v>
      </c>
      <c r="P63" s="218">
        <v>3.56</v>
      </c>
      <c r="Q63" s="218">
        <v>2.195532</v>
      </c>
      <c r="R63" s="218">
        <v>2.195532</v>
      </c>
      <c r="S63" s="218">
        <v>2.48</v>
      </c>
      <c r="T63" s="218">
        <v>2.9526120000000002</v>
      </c>
      <c r="U63" s="218">
        <v>2.69</v>
      </c>
      <c r="V63" s="218">
        <v>1.9684080000000002</v>
      </c>
      <c r="W63" s="211">
        <v>2.914758</v>
      </c>
      <c r="X63" s="681"/>
      <c r="Y63" s="681"/>
    </row>
    <row r="64" spans="2:25" ht="15" customHeight="1" x14ac:dyDescent="0.25">
      <c r="B64" s="570" t="s">
        <v>95</v>
      </c>
      <c r="C64" s="612">
        <v>1.36</v>
      </c>
      <c r="D64" s="219">
        <v>1.45</v>
      </c>
      <c r="E64" s="219">
        <v>1.42</v>
      </c>
      <c r="F64" s="219">
        <v>1.89</v>
      </c>
      <c r="G64" s="219">
        <v>2.62</v>
      </c>
      <c r="H64" s="453">
        <v>2.2400000000000002</v>
      </c>
      <c r="I64" s="219">
        <v>2.77</v>
      </c>
      <c r="J64" s="608">
        <v>3.18</v>
      </c>
      <c r="K64" s="618">
        <v>2.52</v>
      </c>
      <c r="L64" s="218">
        <v>2.8587096774193546</v>
      </c>
      <c r="M64" s="218">
        <v>3.59</v>
      </c>
      <c r="N64" s="218">
        <v>3.94</v>
      </c>
      <c r="O64" s="218">
        <v>3.709692</v>
      </c>
      <c r="P64" s="218">
        <v>3.41</v>
      </c>
      <c r="Q64" s="218">
        <v>2.195532</v>
      </c>
      <c r="R64" s="218">
        <v>2.23</v>
      </c>
      <c r="S64" s="218">
        <v>2.56</v>
      </c>
      <c r="T64" s="218">
        <v>3.104028</v>
      </c>
      <c r="U64" s="218">
        <v>2.73</v>
      </c>
      <c r="V64" s="218">
        <v>1.9305540000000001</v>
      </c>
      <c r="W64" s="211">
        <v>3.1797360000000001</v>
      </c>
      <c r="X64" s="681"/>
      <c r="Y64" s="681"/>
    </row>
    <row r="65" spans="2:25" ht="15" customHeight="1" x14ac:dyDescent="0.25">
      <c r="B65" s="570" t="s">
        <v>96</v>
      </c>
      <c r="C65" s="612">
        <v>1.28</v>
      </c>
      <c r="D65" s="219">
        <v>1.4</v>
      </c>
      <c r="E65" s="219">
        <v>1.46</v>
      </c>
      <c r="F65" s="219">
        <v>2</v>
      </c>
      <c r="G65" s="219">
        <v>2.37</v>
      </c>
      <c r="H65" s="453">
        <v>2.21</v>
      </c>
      <c r="I65" s="219">
        <v>3.03</v>
      </c>
      <c r="J65" s="608">
        <v>2.59</v>
      </c>
      <c r="K65" s="618">
        <v>2.67</v>
      </c>
      <c r="L65" s="218">
        <v>2.9723333333333333</v>
      </c>
      <c r="M65" s="218">
        <v>3.72</v>
      </c>
      <c r="N65" s="218">
        <v>3.81</v>
      </c>
      <c r="O65" s="218">
        <v>3.6339839999999999</v>
      </c>
      <c r="P65" s="218">
        <v>3.22</v>
      </c>
      <c r="Q65" s="218">
        <v>2.1576779999999998</v>
      </c>
      <c r="R65" s="218">
        <v>2.23</v>
      </c>
      <c r="S65" s="218">
        <v>2.62</v>
      </c>
      <c r="T65" s="218">
        <v>2.9526120000000002</v>
      </c>
      <c r="U65" s="218">
        <v>2.69</v>
      </c>
      <c r="V65" s="218">
        <v>1.9684080000000002</v>
      </c>
      <c r="W65" s="211">
        <v>3.2554440000000002</v>
      </c>
      <c r="X65" s="681"/>
      <c r="Y65" s="681"/>
    </row>
    <row r="66" spans="2:25" ht="15" customHeight="1" thickBot="1" x14ac:dyDescent="0.3">
      <c r="B66" s="570" t="s">
        <v>97</v>
      </c>
      <c r="C66" s="612">
        <v>1.19</v>
      </c>
      <c r="D66" s="219">
        <v>1.38</v>
      </c>
      <c r="E66" s="219">
        <v>1.5</v>
      </c>
      <c r="F66" s="219">
        <v>1.86</v>
      </c>
      <c r="G66" s="219">
        <v>2.3199999999999998</v>
      </c>
      <c r="H66" s="453">
        <v>2.25</v>
      </c>
      <c r="I66" s="219">
        <v>3.18</v>
      </c>
      <c r="J66" s="608">
        <v>2.16</v>
      </c>
      <c r="K66" s="618">
        <v>2.63</v>
      </c>
      <c r="L66" s="218">
        <v>3.0364516129032255</v>
      </c>
      <c r="M66" s="218">
        <v>3.67</v>
      </c>
      <c r="N66" s="218">
        <v>3.78</v>
      </c>
      <c r="O66" s="218">
        <v>3.709692</v>
      </c>
      <c r="P66" s="218">
        <v>2.76</v>
      </c>
      <c r="Q66" s="218">
        <v>1.8927</v>
      </c>
      <c r="R66" s="218">
        <v>2.35</v>
      </c>
      <c r="S66" s="218">
        <v>2.69</v>
      </c>
      <c r="T66" s="218">
        <v>2.611926</v>
      </c>
      <c r="U66" s="218">
        <v>2.73</v>
      </c>
      <c r="V66" s="218">
        <v>2.1576779999999998</v>
      </c>
      <c r="W66" s="211">
        <v>3.0283200000000003</v>
      </c>
      <c r="X66" s="681"/>
      <c r="Y66" s="681"/>
    </row>
    <row r="67" spans="2:25" ht="15" customHeight="1" thickBot="1" x14ac:dyDescent="0.3">
      <c r="B67" s="557" t="s">
        <v>99</v>
      </c>
      <c r="C67" s="609">
        <f t="shared" ref="C67:K67" si="3">SUM(C55:C66)/(12)</f>
        <v>1.4533333333333331</v>
      </c>
      <c r="D67" s="610">
        <f t="shared" si="3"/>
        <v>1.3375000000000001</v>
      </c>
      <c r="E67" s="609">
        <f t="shared" si="3"/>
        <v>1.4733333333333334</v>
      </c>
      <c r="F67" s="609">
        <f t="shared" si="3"/>
        <v>1.6933333333333334</v>
      </c>
      <c r="G67" s="609">
        <f t="shared" si="3"/>
        <v>2.1225000000000001</v>
      </c>
      <c r="H67" s="609">
        <f t="shared" si="3"/>
        <v>2.4024999999999999</v>
      </c>
      <c r="I67" s="610">
        <f>SUM(I55:I66)/(12)</f>
        <v>2.5808333333333335</v>
      </c>
      <c r="J67" s="610">
        <f>SUM(J55:J66)/(12)</f>
        <v>3.5649999999999999</v>
      </c>
      <c r="K67" s="610">
        <f t="shared" si="3"/>
        <v>2.2991666666666659</v>
      </c>
      <c r="L67" s="609">
        <v>2.8024295954941114</v>
      </c>
      <c r="M67" s="609">
        <v>3.65</v>
      </c>
      <c r="N67" s="609">
        <v>3.8</v>
      </c>
      <c r="O67" s="609">
        <v>3.73</v>
      </c>
      <c r="P67" s="609">
        <v>3.53</v>
      </c>
      <c r="Q67" s="609">
        <v>2.36</v>
      </c>
      <c r="R67" s="609">
        <v>2.0699999999999998</v>
      </c>
      <c r="S67" s="609">
        <v>2.39</v>
      </c>
      <c r="T67" s="609">
        <v>2.86</v>
      </c>
      <c r="U67" s="609">
        <v>2.77</v>
      </c>
      <c r="V67" s="609">
        <v>2.0499999999999998</v>
      </c>
      <c r="W67" s="611">
        <v>2.8106594999999999</v>
      </c>
      <c r="X67" s="681"/>
      <c r="Y67" s="681"/>
    </row>
    <row r="68" spans="2:25" ht="15" customHeight="1" x14ac:dyDescent="0.25"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677"/>
      <c r="O68" s="677"/>
      <c r="R68" s="681"/>
      <c r="W68" s="681"/>
      <c r="X68" s="681"/>
      <c r="Y68" s="681"/>
    </row>
    <row r="69" spans="2:25" s="14" customFormat="1" ht="15" customHeight="1" x14ac:dyDescent="0.25">
      <c r="B69" s="2" t="s">
        <v>219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77"/>
      <c r="O69" s="677"/>
      <c r="X69" s="817"/>
      <c r="Y69" s="817"/>
    </row>
  </sheetData>
  <mergeCells count="12">
    <mergeCell ref="B1:W1"/>
    <mergeCell ref="B2:W2"/>
    <mergeCell ref="B3:W3"/>
    <mergeCell ref="B4:W4"/>
    <mergeCell ref="B53:B54"/>
    <mergeCell ref="C37:L37"/>
    <mergeCell ref="B5:B6"/>
    <mergeCell ref="B21:B22"/>
    <mergeCell ref="B37:B38"/>
    <mergeCell ref="C5:W5"/>
    <mergeCell ref="C21:W21"/>
    <mergeCell ref="C53:W53"/>
  </mergeCells>
  <phoneticPr fontId="0" type="noConversion"/>
  <printOptions horizontalCentered="1"/>
  <pageMargins left="0.78740157480314965" right="0.39370078740157483" top="0.39370078740157483" bottom="0.39370078740157483" header="0" footer="0"/>
  <pageSetup scale="6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48"/>
  <sheetViews>
    <sheetView topLeftCell="K1" workbookViewId="0">
      <selection activeCell="AA53" sqref="AA53"/>
    </sheetView>
  </sheetViews>
  <sheetFormatPr baseColWidth="10" defaultColWidth="11.44140625" defaultRowHeight="15" x14ac:dyDescent="0.25"/>
  <cols>
    <col min="1" max="1" width="2.6640625" style="13" customWidth="1"/>
    <col min="2" max="2" width="20.6640625" style="13" customWidth="1"/>
    <col min="3" max="17" width="12.6640625" style="13" customWidth="1"/>
    <col min="18" max="24" width="11.44140625" style="13"/>
    <col min="25" max="25" width="13.88671875" style="13" customWidth="1"/>
    <col min="26" max="16384" width="11.44140625" style="13"/>
  </cols>
  <sheetData>
    <row r="1" spans="1:25" ht="15" customHeight="1" x14ac:dyDescent="0.25">
      <c r="A1" s="67"/>
      <c r="B1" s="864" t="s">
        <v>65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</row>
    <row r="2" spans="1:25" ht="15" customHeight="1" x14ac:dyDescent="0.25">
      <c r="B2" s="864" t="s">
        <v>202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</row>
    <row r="3" spans="1:25" ht="15" customHeight="1" x14ac:dyDescent="0.25">
      <c r="B3" s="927" t="s">
        <v>307</v>
      </c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</row>
    <row r="4" spans="1:25" ht="15" customHeight="1" thickBot="1" x14ac:dyDescent="0.3">
      <c r="B4" s="42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5" ht="54.9" customHeight="1" thickBot="1" x14ac:dyDescent="0.3">
      <c r="B5" s="960" t="s">
        <v>39</v>
      </c>
      <c r="C5" s="951" t="s">
        <v>203</v>
      </c>
      <c r="D5" s="952"/>
      <c r="E5" s="952"/>
      <c r="F5" s="952"/>
      <c r="G5" s="952"/>
      <c r="H5" s="952"/>
      <c r="I5" s="952"/>
      <c r="J5" s="952"/>
      <c r="K5" s="952"/>
      <c r="L5" s="952"/>
      <c r="M5" s="952"/>
      <c r="N5" s="952"/>
      <c r="O5" s="952"/>
      <c r="P5" s="952"/>
      <c r="Q5" s="952"/>
      <c r="R5" s="952"/>
      <c r="S5" s="952"/>
      <c r="T5" s="952"/>
      <c r="U5" s="952"/>
      <c r="V5" s="952"/>
      <c r="W5" s="952"/>
      <c r="X5" s="952"/>
      <c r="Y5" s="953"/>
    </row>
    <row r="6" spans="1:25" ht="15" customHeight="1" thickBot="1" x14ac:dyDescent="0.3">
      <c r="B6" s="961"/>
      <c r="C6" s="919" t="s">
        <v>204</v>
      </c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0"/>
      <c r="O6" s="920"/>
      <c r="P6" s="920"/>
      <c r="Q6" s="920"/>
      <c r="R6" s="920"/>
      <c r="S6" s="920"/>
      <c r="T6" s="920"/>
      <c r="U6" s="920"/>
      <c r="V6" s="920"/>
      <c r="W6" s="920"/>
      <c r="X6" s="920"/>
      <c r="Y6" s="921"/>
    </row>
    <row r="7" spans="1:25" ht="15" customHeight="1" thickBot="1" x14ac:dyDescent="0.3">
      <c r="B7" s="962"/>
      <c r="C7" s="547">
        <v>1999</v>
      </c>
      <c r="D7" s="624">
        <v>2000</v>
      </c>
      <c r="E7" s="625">
        <v>2001</v>
      </c>
      <c r="F7" s="624">
        <v>2002</v>
      </c>
      <c r="G7" s="626">
        <v>2003</v>
      </c>
      <c r="H7" s="624">
        <v>2004</v>
      </c>
      <c r="I7" s="626">
        <v>2005</v>
      </c>
      <c r="J7" s="625">
        <v>2006</v>
      </c>
      <c r="K7" s="625">
        <v>2007</v>
      </c>
      <c r="L7" s="625">
        <v>2008</v>
      </c>
      <c r="M7" s="624">
        <v>2009</v>
      </c>
      <c r="N7" s="625">
        <v>2010</v>
      </c>
      <c r="O7" s="625">
        <v>2011</v>
      </c>
      <c r="P7" s="625">
        <v>2012</v>
      </c>
      <c r="Q7" s="625">
        <v>2013</v>
      </c>
      <c r="R7" s="625">
        <v>2014</v>
      </c>
      <c r="S7" s="735">
        <v>2015</v>
      </c>
      <c r="T7" s="749">
        <v>2016</v>
      </c>
      <c r="U7" s="765">
        <v>2017</v>
      </c>
      <c r="V7" s="797">
        <v>2018</v>
      </c>
      <c r="W7" s="801">
        <v>2019</v>
      </c>
      <c r="X7" s="830">
        <v>2020</v>
      </c>
      <c r="Y7" s="627">
        <v>2021</v>
      </c>
    </row>
    <row r="8" spans="1:25" ht="15" customHeight="1" x14ac:dyDescent="0.25">
      <c r="B8" s="574"/>
      <c r="C8" s="273"/>
      <c r="D8" s="277"/>
      <c r="E8" s="278"/>
      <c r="F8" s="277"/>
      <c r="G8" s="426"/>
      <c r="H8" s="277"/>
      <c r="I8" s="426"/>
      <c r="J8" s="278"/>
      <c r="K8" s="278"/>
      <c r="L8" s="278"/>
      <c r="M8" s="277"/>
      <c r="N8" s="278"/>
      <c r="O8" s="278"/>
      <c r="P8" s="278"/>
      <c r="Q8" s="278"/>
      <c r="R8" s="278"/>
      <c r="S8" s="737"/>
      <c r="T8" s="752"/>
      <c r="U8" s="770"/>
      <c r="V8" s="798"/>
      <c r="W8" s="806"/>
      <c r="X8" s="835"/>
      <c r="Y8" s="279"/>
    </row>
    <row r="9" spans="1:25" ht="15" customHeight="1" x14ac:dyDescent="0.25">
      <c r="B9" s="570" t="s">
        <v>86</v>
      </c>
      <c r="C9" s="423">
        <v>0.46667351719039946</v>
      </c>
      <c r="D9" s="433">
        <v>0.83860630848387108</v>
      </c>
      <c r="E9" s="434">
        <v>1.1499935483870969</v>
      </c>
      <c r="F9" s="433">
        <v>0.6188709677419354</v>
      </c>
      <c r="G9" s="435">
        <v>0.99194516129032262</v>
      </c>
      <c r="H9" s="433">
        <v>1.1450032258064515</v>
      </c>
      <c r="I9" s="435">
        <v>1.2877548387096776</v>
      </c>
      <c r="J9" s="434">
        <v>1.7056129032258063</v>
      </c>
      <c r="K9" s="434">
        <v>1.5186225806451612</v>
      </c>
      <c r="L9" s="434">
        <v>2.3507516129032258</v>
      </c>
      <c r="M9" s="433">
        <v>1.1731645161290323</v>
      </c>
      <c r="N9" s="434">
        <v>1.9700516129032259</v>
      </c>
      <c r="O9" s="434">
        <v>2.1102499999999997</v>
      </c>
      <c r="P9" s="434">
        <v>2.6186000000000003</v>
      </c>
      <c r="Q9" s="434">
        <v>2.4057557309021171</v>
      </c>
      <c r="R9" s="434">
        <v>2.1094999999999997</v>
      </c>
      <c r="S9" s="434">
        <v>1.3469333333333333</v>
      </c>
      <c r="T9" s="434">
        <v>1.1655</v>
      </c>
      <c r="U9" s="434">
        <v>1.6299333333333335</v>
      </c>
      <c r="V9" s="434">
        <v>1.6772499999999999</v>
      </c>
      <c r="W9" s="434">
        <v>1.4252666666666667</v>
      </c>
      <c r="X9" s="434">
        <v>1.3531000000000002</v>
      </c>
      <c r="Y9" s="442">
        <v>1.5548333333333335</v>
      </c>
    </row>
    <row r="10" spans="1:25" ht="15" customHeight="1" x14ac:dyDescent="0.25">
      <c r="B10" s="570" t="s">
        <v>87</v>
      </c>
      <c r="C10" s="423">
        <v>0.49008521832916674</v>
      </c>
      <c r="D10" s="433">
        <v>0.94754137931034488</v>
      </c>
      <c r="E10" s="434">
        <v>1.0465249999999999</v>
      </c>
      <c r="F10" s="433">
        <v>0.6323714285714287</v>
      </c>
      <c r="G10" s="435">
        <v>1.1007107142857142</v>
      </c>
      <c r="H10" s="433">
        <v>1.1151</v>
      </c>
      <c r="I10" s="435">
        <v>1.3169142857142855</v>
      </c>
      <c r="J10" s="434">
        <v>1.6223928571428574</v>
      </c>
      <c r="K10" s="434">
        <v>1.50695</v>
      </c>
      <c r="L10" s="434">
        <v>2.1892103448275861</v>
      </c>
      <c r="M10" s="433">
        <v>1.345507142857143</v>
      </c>
      <c r="N10" s="434">
        <v>1.9346285714285716</v>
      </c>
      <c r="O10" s="434">
        <v>2.1283500000000002</v>
      </c>
      <c r="P10" s="434">
        <v>2.5516333333333332</v>
      </c>
      <c r="Q10" s="434">
        <v>2.344946167106416</v>
      </c>
      <c r="R10" s="434">
        <v>2.1732333333333336</v>
      </c>
      <c r="S10" s="434">
        <v>1.3404</v>
      </c>
      <c r="T10" s="434">
        <v>1.1387666666666669</v>
      </c>
      <c r="U10" s="434">
        <v>1.7887</v>
      </c>
      <c r="V10" s="434">
        <v>1.6028</v>
      </c>
      <c r="W10" s="434">
        <v>1.4878</v>
      </c>
      <c r="X10" s="434">
        <v>1.3502333333333334</v>
      </c>
      <c r="Y10" s="442">
        <v>1.5760666666666667</v>
      </c>
    </row>
    <row r="11" spans="1:25" ht="15" customHeight="1" x14ac:dyDescent="0.25">
      <c r="B11" s="570" t="s">
        <v>88</v>
      </c>
      <c r="C11" s="423">
        <v>0.48575385087231188</v>
      </c>
      <c r="D11" s="433">
        <v>1.0175129032258066</v>
      </c>
      <c r="E11" s="434">
        <v>0.94040967741935488</v>
      </c>
      <c r="F11" s="433">
        <v>0.69159999999999999</v>
      </c>
      <c r="G11" s="435">
        <v>1.1079741935483871</v>
      </c>
      <c r="H11" s="433">
        <v>1.0592741935483871</v>
      </c>
      <c r="I11" s="435">
        <v>1.3838709677419354</v>
      </c>
      <c r="J11" s="434">
        <v>1.5245709677419357</v>
      </c>
      <c r="K11" s="434">
        <v>1.5669258064516132</v>
      </c>
      <c r="L11" s="434">
        <v>2.2153129032258065</v>
      </c>
      <c r="M11" s="433">
        <v>1.2042419354838709</v>
      </c>
      <c r="N11" s="434">
        <v>1.8899516129032259</v>
      </c>
      <c r="O11" s="434">
        <v>2.2557</v>
      </c>
      <c r="P11" s="434">
        <v>2.5659333333333332</v>
      </c>
      <c r="Q11" s="434">
        <v>2.2025866900241406</v>
      </c>
      <c r="R11" s="434">
        <v>2.0198666666666667</v>
      </c>
      <c r="S11" s="434">
        <v>1.3419999999999999</v>
      </c>
      <c r="T11" s="434">
        <v>1.1827333333333332</v>
      </c>
      <c r="U11" s="434">
        <v>1.4910333333333334</v>
      </c>
      <c r="V11" s="434">
        <v>1.5870666666666666</v>
      </c>
      <c r="W11" s="434">
        <v>1.460733333333333</v>
      </c>
      <c r="X11" s="434">
        <v>1.1456333333333333</v>
      </c>
      <c r="Y11" s="442">
        <v>1.6460666666666668</v>
      </c>
    </row>
    <row r="12" spans="1:25" ht="15" customHeight="1" x14ac:dyDescent="0.25">
      <c r="B12" s="570" t="s">
        <v>145</v>
      </c>
      <c r="C12" s="423">
        <v>0.54012666400083342</v>
      </c>
      <c r="D12" s="433">
        <v>0.86206000000000005</v>
      </c>
      <c r="E12" s="434">
        <v>0.89395333333333338</v>
      </c>
      <c r="F12" s="433">
        <v>0.74077999999999988</v>
      </c>
      <c r="G12" s="435">
        <v>0.93095333333333341</v>
      </c>
      <c r="H12" s="433">
        <v>1.0605133333333334</v>
      </c>
      <c r="I12" s="435">
        <v>1.44214</v>
      </c>
      <c r="J12" s="434">
        <v>1.5484166666666668</v>
      </c>
      <c r="K12" s="434">
        <v>1.6754200000000001</v>
      </c>
      <c r="L12" s="434">
        <v>2.2542466666666665</v>
      </c>
      <c r="M12" s="433">
        <v>1.2364866666666667</v>
      </c>
      <c r="N12" s="434">
        <v>1.8937766666666667</v>
      </c>
      <c r="O12" s="434">
        <v>2.3107499999999996</v>
      </c>
      <c r="P12" s="434">
        <v>2.5887333333333333</v>
      </c>
      <c r="Q12" s="434">
        <v>2.0643511095883595</v>
      </c>
      <c r="R12" s="434">
        <v>1.9497</v>
      </c>
      <c r="S12" s="434">
        <v>1.2958499999999999</v>
      </c>
      <c r="T12" s="434">
        <v>1.1894</v>
      </c>
      <c r="U12" s="434">
        <v>1.4162999999999999</v>
      </c>
      <c r="V12" s="434">
        <v>1.5545333333333335</v>
      </c>
      <c r="W12" s="434">
        <v>1.4111666666666665</v>
      </c>
      <c r="X12" s="434">
        <v>0.97715000000000019</v>
      </c>
      <c r="Y12" s="442">
        <v>1.5809</v>
      </c>
    </row>
    <row r="13" spans="1:25" ht="15" customHeight="1" x14ac:dyDescent="0.25">
      <c r="B13" s="570" t="s">
        <v>90</v>
      </c>
      <c r="C13" s="423">
        <v>0.58620241501597548</v>
      </c>
      <c r="D13" s="433">
        <v>0.83933225806451617</v>
      </c>
      <c r="E13" s="434">
        <v>0.87590322580645164</v>
      </c>
      <c r="F13" s="433">
        <v>0.75359999999999994</v>
      </c>
      <c r="G13" s="435">
        <v>0.87970322580645166</v>
      </c>
      <c r="H13" s="433">
        <v>1.1354935483870967</v>
      </c>
      <c r="I13" s="435">
        <v>1.3521806451612906</v>
      </c>
      <c r="J13" s="434">
        <v>1.610541935483871</v>
      </c>
      <c r="K13" s="434">
        <v>1.7772774193548386</v>
      </c>
      <c r="L13" s="434">
        <v>2.4378354838709679</v>
      </c>
      <c r="M13" s="433">
        <v>1.2320645161290324</v>
      </c>
      <c r="N13" s="434">
        <v>1.9284451612903226</v>
      </c>
      <c r="O13" s="434">
        <v>2.3670499999999999</v>
      </c>
      <c r="P13" s="434">
        <v>2.3978999999999999</v>
      </c>
      <c r="Q13" s="434">
        <v>1.946047144229696</v>
      </c>
      <c r="R13" s="434">
        <v>1.9340666666666666</v>
      </c>
      <c r="S13" s="434">
        <v>1.2772666666666668</v>
      </c>
      <c r="T13" s="434">
        <v>1.2627250000000001</v>
      </c>
      <c r="U13" s="434">
        <v>1.4267666666666667</v>
      </c>
      <c r="V13" s="434">
        <v>1.6444000000000001</v>
      </c>
      <c r="W13" s="434">
        <v>1.3557333333333332</v>
      </c>
      <c r="X13" s="434">
        <v>1.0034000000000001</v>
      </c>
      <c r="Y13" s="442">
        <v>1.5475000000000001</v>
      </c>
    </row>
    <row r="14" spans="1:25" ht="15" customHeight="1" x14ac:dyDescent="0.25">
      <c r="B14" s="570" t="s">
        <v>91</v>
      </c>
      <c r="C14" s="423">
        <v>0.57967810215293647</v>
      </c>
      <c r="D14" s="433">
        <v>0.92518666666666671</v>
      </c>
      <c r="E14" s="434">
        <v>0.83875333333333324</v>
      </c>
      <c r="F14" s="433">
        <v>0.72898000000000007</v>
      </c>
      <c r="G14" s="435">
        <v>0.92000999999999988</v>
      </c>
      <c r="H14" s="433">
        <v>1.1615166666666668</v>
      </c>
      <c r="I14" s="435">
        <v>1.3084</v>
      </c>
      <c r="J14" s="434">
        <v>1.6249866666666668</v>
      </c>
      <c r="K14" s="434">
        <v>1.7748599999999999</v>
      </c>
      <c r="L14" s="434">
        <v>2.5868433333333334</v>
      </c>
      <c r="M14" s="433">
        <v>1.4028884148439882</v>
      </c>
      <c r="N14" s="434">
        <v>1.8394733333333333</v>
      </c>
      <c r="O14" s="434">
        <v>2.2892000000000001</v>
      </c>
      <c r="P14" s="434">
        <v>2.0685666666666669</v>
      </c>
      <c r="Q14" s="434">
        <v>1.8888</v>
      </c>
      <c r="R14" s="434">
        <v>1.9333666666666665</v>
      </c>
      <c r="S14" s="434">
        <v>1.1871</v>
      </c>
      <c r="T14" s="434">
        <v>1.2882666666666667</v>
      </c>
      <c r="U14" s="434">
        <v>1.3757999999999999</v>
      </c>
      <c r="V14" s="434">
        <v>1.6897666666666666</v>
      </c>
      <c r="W14" s="434">
        <v>1.2121</v>
      </c>
      <c r="X14" s="434">
        <v>1.1105666666666665</v>
      </c>
      <c r="Y14" s="442">
        <v>1.6683333333333332</v>
      </c>
    </row>
    <row r="15" spans="1:25" ht="15" customHeight="1" x14ac:dyDescent="0.25">
      <c r="B15" s="570" t="s">
        <v>93</v>
      </c>
      <c r="C15" s="423">
        <v>0.63256831368982336</v>
      </c>
      <c r="D15" s="433">
        <v>0.92399677419354831</v>
      </c>
      <c r="E15" s="434">
        <v>0.7544774193548387</v>
      </c>
      <c r="F15" s="433">
        <v>0.72716774193548395</v>
      </c>
      <c r="G15" s="435">
        <v>0.90588064516129019</v>
      </c>
      <c r="H15" s="433">
        <v>1.1838967741935484</v>
      </c>
      <c r="I15" s="435">
        <v>1.3854548387096774</v>
      </c>
      <c r="J15" s="434">
        <v>1.7103354838709679</v>
      </c>
      <c r="K15" s="434">
        <v>1.770574193548387</v>
      </c>
      <c r="L15" s="434">
        <v>2.7532709677419356</v>
      </c>
      <c r="M15" s="433">
        <v>1.4266775494921082</v>
      </c>
      <c r="N15" s="434">
        <v>1.7739516129032258</v>
      </c>
      <c r="O15" s="434">
        <v>2.48875</v>
      </c>
      <c r="P15" s="434">
        <v>1.9417333333333335</v>
      </c>
      <c r="Q15" s="434">
        <v>1.8951666666666667</v>
      </c>
      <c r="R15" s="434">
        <v>1.9584333333333335</v>
      </c>
      <c r="S15" s="434">
        <v>1.1806333333333334</v>
      </c>
      <c r="T15" s="434">
        <v>1.26915</v>
      </c>
      <c r="U15" s="434">
        <v>1.3486666666666665</v>
      </c>
      <c r="V15" s="434">
        <v>1.7532333333333334</v>
      </c>
      <c r="W15" s="434">
        <v>1.1452333333333333</v>
      </c>
      <c r="X15" s="434">
        <v>1.1484333333333334</v>
      </c>
      <c r="Y15" s="442">
        <v>1.8602666666666667</v>
      </c>
    </row>
    <row r="16" spans="1:25" ht="15" customHeight="1" x14ac:dyDescent="0.25">
      <c r="B16" s="570" t="s">
        <v>94</v>
      </c>
      <c r="C16" s="423">
        <v>0.68770341653452394</v>
      </c>
      <c r="D16" s="433">
        <v>0.92068709677419358</v>
      </c>
      <c r="E16" s="434">
        <v>0.77212580645161288</v>
      </c>
      <c r="F16" s="433">
        <v>0.76400000000000001</v>
      </c>
      <c r="G16" s="435">
        <v>0.91855483870967747</v>
      </c>
      <c r="H16" s="433">
        <v>1.2707064516129032</v>
      </c>
      <c r="I16" s="435">
        <v>1.4202225806451612</v>
      </c>
      <c r="J16" s="434">
        <v>1.7574193548387098</v>
      </c>
      <c r="K16" s="434">
        <v>1.8090064516129032</v>
      </c>
      <c r="L16" s="434">
        <v>2.5096977412087171</v>
      </c>
      <c r="M16" s="433">
        <v>1.4790580645161291</v>
      </c>
      <c r="N16" s="434">
        <v>1.7986290322580647</v>
      </c>
      <c r="O16" s="434">
        <v>2.5596666666666668</v>
      </c>
      <c r="P16" s="434">
        <v>2.0533186891410717</v>
      </c>
      <c r="Q16" s="434">
        <v>2.0020724351291137</v>
      </c>
      <c r="R16" s="434">
        <v>1.9289333333333332</v>
      </c>
      <c r="S16" s="434">
        <v>1.1893666666666667</v>
      </c>
      <c r="T16" s="434">
        <v>1.2401666666666669</v>
      </c>
      <c r="U16" s="434">
        <v>1.5202</v>
      </c>
      <c r="V16" s="434">
        <v>1.844325</v>
      </c>
      <c r="W16" s="434">
        <v>1.1294</v>
      </c>
      <c r="X16" s="434">
        <v>1.1830000000000001</v>
      </c>
      <c r="Y16" s="442">
        <v>1.9652999999999998</v>
      </c>
    </row>
    <row r="17" spans="1:25" ht="15" customHeight="1" x14ac:dyDescent="0.25">
      <c r="B17" s="570" t="s">
        <v>101</v>
      </c>
      <c r="C17" s="423">
        <v>0.7045338492768255</v>
      </c>
      <c r="D17" s="433">
        <v>1.0063933333333333</v>
      </c>
      <c r="E17" s="434">
        <v>0.81356666666666677</v>
      </c>
      <c r="F17" s="433">
        <v>0.82211999999999996</v>
      </c>
      <c r="G17" s="435">
        <v>0.9422233333333333</v>
      </c>
      <c r="H17" s="433">
        <v>1.28071</v>
      </c>
      <c r="I17" s="435">
        <v>1.5682199999999999</v>
      </c>
      <c r="J17" s="434">
        <v>1.6782066666666668</v>
      </c>
      <c r="K17" s="434">
        <v>1.8884099999999999</v>
      </c>
      <c r="L17" s="434">
        <v>2.3096940969282143</v>
      </c>
      <c r="M17" s="433">
        <v>1.58555</v>
      </c>
      <c r="N17" s="434">
        <v>1.7818400000000001</v>
      </c>
      <c r="O17" s="434">
        <v>2.5996666666666672</v>
      </c>
      <c r="P17" s="434">
        <v>2.1957291112418651</v>
      </c>
      <c r="Q17" s="434">
        <v>2.0571666666666668</v>
      </c>
      <c r="R17" s="434">
        <v>1.9322333333333335</v>
      </c>
      <c r="S17" s="434">
        <v>1.1856333333333333</v>
      </c>
      <c r="T17" s="434">
        <v>1.2714999999999999</v>
      </c>
      <c r="U17" s="434">
        <v>1.6155333333333335</v>
      </c>
      <c r="V17" s="434">
        <v>1.8754999999999999</v>
      </c>
      <c r="W17" s="434">
        <v>1.1580999999999999</v>
      </c>
      <c r="X17" s="434">
        <v>1.2427666666666666</v>
      </c>
      <c r="Y17" s="442">
        <v>2.0672999999999999</v>
      </c>
    </row>
    <row r="18" spans="1:25" ht="15" customHeight="1" x14ac:dyDescent="0.25">
      <c r="B18" s="570" t="s">
        <v>95</v>
      </c>
      <c r="C18" s="423">
        <v>0.73637795639539172</v>
      </c>
      <c r="D18" s="433">
        <v>1.0085387096774194</v>
      </c>
      <c r="E18" s="434">
        <v>0.7674161290322582</v>
      </c>
      <c r="F18" s="433">
        <v>0.85289677419354848</v>
      </c>
      <c r="G18" s="435">
        <v>0.97985483870967738</v>
      </c>
      <c r="H18" s="433">
        <v>1.3990709677419355</v>
      </c>
      <c r="I18" s="435">
        <v>1.6946032258064514</v>
      </c>
      <c r="J18" s="434">
        <v>1.5379612903225806</v>
      </c>
      <c r="K18" s="434">
        <v>2.0193258064516129</v>
      </c>
      <c r="L18" s="434">
        <v>1.9500258064516129</v>
      </c>
      <c r="M18" s="433">
        <v>1.5990612903225805</v>
      </c>
      <c r="N18" s="434">
        <v>1.9069161290322583</v>
      </c>
      <c r="O18" s="434">
        <v>2.5640666666666667</v>
      </c>
      <c r="P18" s="434">
        <v>2.1832396785000001</v>
      </c>
      <c r="Q18" s="434">
        <v>2.1128493895166818</v>
      </c>
      <c r="R18" s="434">
        <v>1.8842249999999998</v>
      </c>
      <c r="S18" s="434">
        <v>1.2646666666666666</v>
      </c>
      <c r="T18" s="434">
        <v>1.3548</v>
      </c>
      <c r="U18" s="434">
        <v>1.6908666666666667</v>
      </c>
      <c r="V18" s="434">
        <v>1.8630000000000002</v>
      </c>
      <c r="W18" s="434">
        <v>1.2309999999999999</v>
      </c>
      <c r="X18" s="434">
        <v>1.2721666666666664</v>
      </c>
      <c r="Y18" s="442">
        <v>2.2272333333333334</v>
      </c>
    </row>
    <row r="19" spans="1:25" ht="15" customHeight="1" x14ac:dyDescent="0.25">
      <c r="B19" s="570" t="s">
        <v>96</v>
      </c>
      <c r="C19" s="423">
        <v>0.74882156905019837</v>
      </c>
      <c r="D19" s="433">
        <v>1.0027200000000001</v>
      </c>
      <c r="E19" s="434">
        <v>0.70771333333333331</v>
      </c>
      <c r="F19" s="433">
        <v>0.84959333333333331</v>
      </c>
      <c r="G19" s="435">
        <v>1.0418066666666665</v>
      </c>
      <c r="H19" s="433">
        <v>1.4463066666666664</v>
      </c>
      <c r="I19" s="435">
        <v>1.6162266666666667</v>
      </c>
      <c r="J19" s="434">
        <v>1.5057266666666667</v>
      </c>
      <c r="K19" s="434">
        <v>2.2401733333333329</v>
      </c>
      <c r="L19" s="434">
        <v>1.4311566666666666</v>
      </c>
      <c r="M19" s="433">
        <v>1.7470266666666667</v>
      </c>
      <c r="N19" s="434">
        <v>1.9797333333333331</v>
      </c>
      <c r="O19" s="434">
        <v>2.5093000000000001</v>
      </c>
      <c r="P19" s="434">
        <v>2.2949589036483666</v>
      </c>
      <c r="Q19" s="434">
        <v>2.1409387506305553</v>
      </c>
      <c r="R19" s="434">
        <v>1.7510666666666665</v>
      </c>
      <c r="S19" s="434">
        <v>1.2552666666666665</v>
      </c>
      <c r="T19" s="434">
        <v>1.3695666666666666</v>
      </c>
      <c r="U19" s="434">
        <v>1.6962333333333335</v>
      </c>
      <c r="V19" s="434">
        <v>1.6171</v>
      </c>
      <c r="W19" s="434">
        <v>1.3145333333333333</v>
      </c>
      <c r="X19" s="434">
        <v>1.3214333333333335</v>
      </c>
      <c r="Y19" s="442">
        <v>2.2956666666666661</v>
      </c>
    </row>
    <row r="20" spans="1:25" ht="15" customHeight="1" x14ac:dyDescent="0.25">
      <c r="B20" s="570" t="s">
        <v>97</v>
      </c>
      <c r="C20" s="423">
        <v>0.78760370181647466</v>
      </c>
      <c r="D20" s="433">
        <v>1.0526870967741935</v>
      </c>
      <c r="E20" s="434">
        <v>0.63503225806451613</v>
      </c>
      <c r="F20" s="433">
        <v>0.85776774193548389</v>
      </c>
      <c r="G20" s="435">
        <v>1.0799387096774196</v>
      </c>
      <c r="H20" s="433">
        <v>1.360793548387097</v>
      </c>
      <c r="I20" s="435">
        <v>1.643251612903226</v>
      </c>
      <c r="J20" s="434">
        <v>1.5491999999999999</v>
      </c>
      <c r="K20" s="434">
        <v>2.2465645161290322</v>
      </c>
      <c r="L20" s="434">
        <v>1.0982935483870968</v>
      </c>
      <c r="M20" s="433">
        <v>1.86788720638871</v>
      </c>
      <c r="N20" s="434">
        <v>2.0888709677419355</v>
      </c>
      <c r="O20" s="434">
        <v>2.6071333333333335</v>
      </c>
      <c r="P20" s="434">
        <v>2.3982839974192465</v>
      </c>
      <c r="Q20" s="434">
        <v>2.0845750000000001</v>
      </c>
      <c r="R20" s="434">
        <v>1.4827249999999998</v>
      </c>
      <c r="S20" s="434">
        <v>1.2366333333333335</v>
      </c>
      <c r="T20" s="434">
        <v>1.4468000000000003</v>
      </c>
      <c r="U20" s="434">
        <v>1.6710666666666667</v>
      </c>
      <c r="V20" s="434">
        <v>1.4588999999999999</v>
      </c>
      <c r="W20" s="434">
        <v>1.3658000000000001</v>
      </c>
      <c r="X20" s="434">
        <v>1.4789333333333332</v>
      </c>
      <c r="Y20" s="442">
        <v>1.9904999999999999</v>
      </c>
    </row>
    <row r="21" spans="1:25" ht="15" customHeight="1" thickBot="1" x14ac:dyDescent="0.3">
      <c r="A21" s="13">
        <v>0</v>
      </c>
      <c r="B21" s="605"/>
      <c r="C21" s="275"/>
      <c r="D21" s="428"/>
      <c r="E21" s="429"/>
      <c r="F21" s="283"/>
      <c r="G21" s="430"/>
      <c r="H21" s="283"/>
      <c r="I21" s="430"/>
      <c r="J21" s="289"/>
      <c r="K21" s="289"/>
      <c r="L21" s="289"/>
      <c r="M21" s="283"/>
      <c r="N21" s="289"/>
      <c r="O21" s="289"/>
      <c r="P21" s="289"/>
      <c r="Q21" s="289"/>
      <c r="R21" s="289"/>
      <c r="S21" s="740"/>
      <c r="T21" s="751"/>
      <c r="U21" s="768"/>
      <c r="V21" s="800"/>
      <c r="W21" s="804"/>
      <c r="X21" s="833"/>
      <c r="Y21" s="291"/>
    </row>
    <row r="22" spans="1:25" ht="24.9" customHeight="1" thickBot="1" x14ac:dyDescent="0.3">
      <c r="B22" s="597" t="s">
        <v>83</v>
      </c>
      <c r="C22" s="312">
        <v>0.62133306839617097</v>
      </c>
      <c r="D22" s="431">
        <v>0.9453871463469945</v>
      </c>
      <c r="E22" s="431">
        <v>0.84843397260273978</v>
      </c>
      <c r="F22" s="431">
        <v>0.75395506849315075</v>
      </c>
      <c r="G22" s="432">
        <v>0.98260027397260263</v>
      </c>
      <c r="H22" s="431">
        <v>1.2185538251366119</v>
      </c>
      <c r="I22" s="432">
        <v>1.4523580821917808</v>
      </c>
      <c r="J22" s="451">
        <v>1.614827397260274</v>
      </c>
      <c r="K22" s="451">
        <v>1.8178567123287668</v>
      </c>
      <c r="L22" s="451">
        <v>2.1740878494134335</v>
      </c>
      <c r="M22" s="431">
        <v>1.4418618078839043</v>
      </c>
      <c r="N22" s="451">
        <v>1.8988372602739723</v>
      </c>
      <c r="O22" s="451">
        <v>2.3992</v>
      </c>
      <c r="P22" s="451">
        <v>2.3216000000000001</v>
      </c>
      <c r="Q22" s="451">
        <v>2.0954000000000002</v>
      </c>
      <c r="R22" s="451">
        <v>1.9214</v>
      </c>
      <c r="S22" s="739">
        <v>1.2585</v>
      </c>
      <c r="T22" s="750">
        <v>1.2649999999999999</v>
      </c>
      <c r="U22" s="767">
        <v>1.5559000000000001</v>
      </c>
      <c r="V22" s="799">
        <v>1.6807000000000001</v>
      </c>
      <c r="W22" s="803">
        <v>1.3081</v>
      </c>
      <c r="X22" s="832">
        <v>1.3030999999999999</v>
      </c>
      <c r="Y22" s="443">
        <v>1.8316638888888888</v>
      </c>
    </row>
    <row r="23" spans="1:25" ht="15" customHeight="1" thickBot="1" x14ac:dyDescent="0.3">
      <c r="P23" s="90"/>
      <c r="Q23" s="90"/>
    </row>
    <row r="24" spans="1:25" ht="54.9" customHeight="1" thickBot="1" x14ac:dyDescent="0.3">
      <c r="B24" s="960" t="s">
        <v>39</v>
      </c>
      <c r="C24" s="951" t="s">
        <v>208</v>
      </c>
      <c r="D24" s="952"/>
      <c r="E24" s="952"/>
      <c r="F24" s="952"/>
      <c r="G24" s="952"/>
      <c r="H24" s="952"/>
      <c r="I24" s="952"/>
      <c r="J24" s="952"/>
      <c r="K24" s="952"/>
      <c r="L24" s="952"/>
      <c r="M24" s="952"/>
      <c r="N24" s="952"/>
      <c r="O24" s="952"/>
      <c r="P24" s="952"/>
      <c r="Q24" s="952"/>
      <c r="R24" s="952"/>
      <c r="S24" s="952"/>
      <c r="T24" s="952"/>
      <c r="U24" s="952"/>
      <c r="V24" s="952"/>
      <c r="W24" s="952"/>
      <c r="X24" s="952"/>
      <c r="Y24" s="953"/>
    </row>
    <row r="25" spans="1:25" ht="15" customHeight="1" thickBot="1" x14ac:dyDescent="0.3">
      <c r="B25" s="961"/>
      <c r="C25" s="919" t="s">
        <v>205</v>
      </c>
      <c r="D25" s="920"/>
      <c r="E25" s="920"/>
      <c r="F25" s="920"/>
      <c r="G25" s="920"/>
      <c r="H25" s="920"/>
      <c r="I25" s="920"/>
      <c r="J25" s="920"/>
      <c r="K25" s="920"/>
      <c r="L25" s="920"/>
      <c r="M25" s="920"/>
      <c r="N25" s="920"/>
      <c r="O25" s="920"/>
      <c r="P25" s="920"/>
      <c r="Q25" s="920"/>
      <c r="R25" s="920"/>
      <c r="S25" s="920"/>
      <c r="T25" s="920"/>
      <c r="U25" s="920"/>
      <c r="V25" s="920"/>
      <c r="W25" s="920"/>
      <c r="X25" s="920"/>
      <c r="Y25" s="921"/>
    </row>
    <row r="26" spans="1:25" ht="15" customHeight="1" thickBot="1" x14ac:dyDescent="0.3">
      <c r="B26" s="962"/>
      <c r="C26" s="682">
        <v>1999</v>
      </c>
      <c r="D26" s="683">
        <v>2000</v>
      </c>
      <c r="E26" s="684">
        <v>2001</v>
      </c>
      <c r="F26" s="684">
        <v>2002</v>
      </c>
      <c r="G26" s="684">
        <v>2003</v>
      </c>
      <c r="H26" s="683">
        <v>2004</v>
      </c>
      <c r="I26" s="551">
        <v>2005</v>
      </c>
      <c r="J26" s="684">
        <v>2006</v>
      </c>
      <c r="K26" s="684">
        <v>2007</v>
      </c>
      <c r="L26" s="684">
        <v>2008</v>
      </c>
      <c r="M26" s="683">
        <v>2009</v>
      </c>
      <c r="N26" s="684">
        <v>2010</v>
      </c>
      <c r="O26" s="684">
        <v>2011</v>
      </c>
      <c r="P26" s="684">
        <v>2012</v>
      </c>
      <c r="Q26" s="625">
        <v>2013</v>
      </c>
      <c r="R26" s="624">
        <v>2014</v>
      </c>
      <c r="S26" s="736">
        <v>2015</v>
      </c>
      <c r="T26" s="749">
        <v>2016</v>
      </c>
      <c r="U26" s="765">
        <v>2017</v>
      </c>
      <c r="V26" s="797">
        <v>2018</v>
      </c>
      <c r="W26" s="801">
        <v>2.0190000000000001</v>
      </c>
      <c r="X26" s="830">
        <v>2020</v>
      </c>
      <c r="Y26" s="627">
        <v>2021</v>
      </c>
    </row>
    <row r="27" spans="1:25" ht="15" customHeight="1" x14ac:dyDescent="0.25">
      <c r="B27" s="574"/>
      <c r="C27" s="622"/>
      <c r="D27" s="296"/>
      <c r="E27" s="297"/>
      <c r="F27" s="297"/>
      <c r="G27" s="297"/>
      <c r="H27" s="296"/>
      <c r="I27" s="623"/>
      <c r="J27" s="297"/>
      <c r="K27" s="297"/>
      <c r="L27" s="297"/>
      <c r="M27" s="296"/>
      <c r="N27" s="278"/>
      <c r="O27" s="278"/>
      <c r="P27" s="278"/>
      <c r="Q27" s="278"/>
      <c r="R27" s="277"/>
      <c r="S27" s="426"/>
      <c r="T27" s="752"/>
      <c r="U27" s="770"/>
      <c r="V27" s="798"/>
      <c r="W27" s="806"/>
      <c r="X27" s="835"/>
      <c r="Y27" s="279"/>
    </row>
    <row r="28" spans="1:25" ht="15" customHeight="1" x14ac:dyDescent="0.25">
      <c r="B28" s="570" t="s">
        <v>86</v>
      </c>
      <c r="C28" s="436">
        <v>2.4822838709677417</v>
      </c>
      <c r="D28" s="433">
        <v>4.4606451612903228</v>
      </c>
      <c r="E28" s="434">
        <v>6.117025806451613</v>
      </c>
      <c r="F28" s="434">
        <v>3.2918709677419353</v>
      </c>
      <c r="G28" s="434">
        <v>5.2763903225806459</v>
      </c>
      <c r="H28" s="433">
        <v>6.0904903225806457</v>
      </c>
      <c r="I28" s="435">
        <v>6.849774193548388</v>
      </c>
      <c r="J28" s="434">
        <v>9.0723387096774193</v>
      </c>
      <c r="K28" s="434">
        <v>8.0778935483870971</v>
      </c>
      <c r="L28" s="434">
        <v>12.504145161290323</v>
      </c>
      <c r="M28" s="433">
        <v>6.2400258064516132</v>
      </c>
      <c r="N28" s="434">
        <v>10.479106451612903</v>
      </c>
      <c r="O28" s="434">
        <v>11.2249</v>
      </c>
      <c r="P28" s="434">
        <v>13.928800000000001</v>
      </c>
      <c r="Q28" s="434">
        <v>12.79657303671339</v>
      </c>
      <c r="R28" s="433">
        <v>11.220749999999999</v>
      </c>
      <c r="S28" s="435">
        <v>7.1645333333333339</v>
      </c>
      <c r="T28" s="434">
        <v>6.199466666666666</v>
      </c>
      <c r="U28" s="434">
        <v>8.6698666666666657</v>
      </c>
      <c r="V28" s="434">
        <v>8.9215499999999999</v>
      </c>
      <c r="W28" s="434">
        <v>7.5811999999999999</v>
      </c>
      <c r="X28" s="434">
        <v>7.1973333333333329</v>
      </c>
      <c r="Y28" s="442">
        <v>7.5576333333333325</v>
      </c>
    </row>
    <row r="29" spans="1:25" ht="15" customHeight="1" x14ac:dyDescent="0.25">
      <c r="B29" s="570" t="s">
        <v>87</v>
      </c>
      <c r="C29" s="436">
        <v>2.6068714285714285</v>
      </c>
      <c r="D29" s="433">
        <v>5.0402206896551727</v>
      </c>
      <c r="E29" s="434">
        <v>5.5907</v>
      </c>
      <c r="F29" s="434">
        <v>3.3639142857142859</v>
      </c>
      <c r="G29" s="434">
        <v>5.8548749999999998</v>
      </c>
      <c r="H29" s="433">
        <v>5.9312724137931037</v>
      </c>
      <c r="I29" s="435">
        <v>7.0047642857142858</v>
      </c>
      <c r="J29" s="434">
        <v>8.6296714285714291</v>
      </c>
      <c r="K29" s="434">
        <v>8.0156499999999991</v>
      </c>
      <c r="L29" s="434">
        <v>11.6447</v>
      </c>
      <c r="M29" s="433">
        <v>7.156714285714286</v>
      </c>
      <c r="N29" s="434">
        <v>10.290678571428572</v>
      </c>
      <c r="O29" s="434">
        <v>11.321149999999999</v>
      </c>
      <c r="P29" s="434">
        <v>13.572566666666667</v>
      </c>
      <c r="Q29" s="434">
        <v>12.473117910140511</v>
      </c>
      <c r="R29" s="433">
        <v>11.559733333333334</v>
      </c>
      <c r="S29" s="435">
        <v>7.1298000000000004</v>
      </c>
      <c r="T29" s="434">
        <v>6.0572666666666661</v>
      </c>
      <c r="U29" s="434">
        <v>9.5143500000000003</v>
      </c>
      <c r="V29" s="434">
        <v>8.525500000000001</v>
      </c>
      <c r="W29" s="434">
        <v>7.9138333333333337</v>
      </c>
      <c r="X29" s="434">
        <v>7.1820666666666666</v>
      </c>
      <c r="Y29" s="442">
        <v>8.3833333333333346</v>
      </c>
    </row>
    <row r="30" spans="1:25" ht="15" customHeight="1" x14ac:dyDescent="0.25">
      <c r="B30" s="570" t="s">
        <v>88</v>
      </c>
      <c r="C30" s="436">
        <v>2.5838225806451613</v>
      </c>
      <c r="D30" s="433">
        <v>5.4123387096774191</v>
      </c>
      <c r="E30" s="434">
        <v>5.0019935483870972</v>
      </c>
      <c r="F30" s="434">
        <v>3.6788258064516128</v>
      </c>
      <c r="G30" s="434">
        <v>5.8934903225806448</v>
      </c>
      <c r="H30" s="433">
        <v>5.6344161290322576</v>
      </c>
      <c r="I30" s="435">
        <v>7.3610451612903223</v>
      </c>
      <c r="J30" s="434">
        <v>8.1092548387096777</v>
      </c>
      <c r="K30" s="434">
        <v>8.3348354838709682</v>
      </c>
      <c r="L30" s="434">
        <v>11.782770967741936</v>
      </c>
      <c r="M30" s="433">
        <v>6.4054387096774192</v>
      </c>
      <c r="N30" s="434">
        <v>10.051335483870968</v>
      </c>
      <c r="O30" s="434">
        <v>11.9984</v>
      </c>
      <c r="P30" s="434">
        <v>13.648466666666666</v>
      </c>
      <c r="Q30" s="434">
        <v>11.715882393745426</v>
      </c>
      <c r="R30" s="433">
        <v>10.743966666666665</v>
      </c>
      <c r="S30" s="435">
        <v>7.138300000000001</v>
      </c>
      <c r="T30" s="434">
        <v>6.2911333333333337</v>
      </c>
      <c r="U30" s="434">
        <v>7.9310333333333327</v>
      </c>
      <c r="V30" s="434">
        <v>8.4418333333333333</v>
      </c>
      <c r="W30" s="434">
        <v>7.7698666666666663</v>
      </c>
      <c r="X30" s="434">
        <v>6.0976666666666661</v>
      </c>
      <c r="Y30" s="442">
        <v>8.7556666666666683</v>
      </c>
    </row>
    <row r="31" spans="1:25" ht="15" customHeight="1" x14ac:dyDescent="0.25">
      <c r="B31" s="570" t="s">
        <v>145</v>
      </c>
      <c r="C31" s="436">
        <v>2.8730266666666666</v>
      </c>
      <c r="D31" s="433">
        <v>4.5854233333333339</v>
      </c>
      <c r="E31" s="434">
        <v>4.7551466666666666</v>
      </c>
      <c r="F31" s="434">
        <v>3.9403166666666669</v>
      </c>
      <c r="G31" s="434">
        <v>4.9519333333333329</v>
      </c>
      <c r="H31" s="433">
        <v>5.6410999999999998</v>
      </c>
      <c r="I31" s="435">
        <v>7.671126666666666</v>
      </c>
      <c r="J31" s="434">
        <v>8.2362699999999993</v>
      </c>
      <c r="K31" s="434">
        <v>8.9118133333333311</v>
      </c>
      <c r="L31" s="434">
        <v>11.990500000000001</v>
      </c>
      <c r="M31" s="433">
        <v>6.5769266666666661</v>
      </c>
      <c r="N31" s="434">
        <v>10.0733</v>
      </c>
      <c r="O31" s="434">
        <v>12.29125</v>
      </c>
      <c r="P31" s="434">
        <v>13.769733333333335</v>
      </c>
      <c r="Q31" s="434">
        <v>10.980586753129572</v>
      </c>
      <c r="R31" s="433">
        <v>10.370750000000001</v>
      </c>
      <c r="S31" s="435">
        <v>6.8928250000000002</v>
      </c>
      <c r="T31" s="434">
        <v>6.3266</v>
      </c>
      <c r="U31" s="434">
        <v>7.5335000000000001</v>
      </c>
      <c r="V31" s="434">
        <v>8.2688000000000006</v>
      </c>
      <c r="W31" s="434">
        <v>7.5062333333333333</v>
      </c>
      <c r="X31" s="434">
        <v>5.1976250000000004</v>
      </c>
      <c r="Y31" s="442">
        <v>8.4090666666666678</v>
      </c>
    </row>
    <row r="32" spans="1:25" ht="15" customHeight="1" x14ac:dyDescent="0.25">
      <c r="B32" s="570" t="s">
        <v>90</v>
      </c>
      <c r="C32" s="436">
        <v>3.1180935483870966</v>
      </c>
      <c r="D32" s="433">
        <v>4.4646064516129034</v>
      </c>
      <c r="E32" s="434">
        <v>4.6590935483870961</v>
      </c>
      <c r="F32" s="434">
        <v>4.0084935483870971</v>
      </c>
      <c r="G32" s="434">
        <v>4.6792483870967736</v>
      </c>
      <c r="H32" s="433">
        <v>6.0399935483870957</v>
      </c>
      <c r="I32" s="435">
        <v>7.1926258064516126</v>
      </c>
      <c r="J32" s="434">
        <v>8.5667419354838703</v>
      </c>
      <c r="K32" s="434">
        <v>9.4535161290322574</v>
      </c>
      <c r="L32" s="434">
        <v>12.967412903225807</v>
      </c>
      <c r="M32" s="433">
        <v>6.5549354838709677</v>
      </c>
      <c r="N32" s="434">
        <v>10.257716129032257</v>
      </c>
      <c r="O32" s="434">
        <v>12.5906</v>
      </c>
      <c r="P32" s="434">
        <v>12.754733333333334</v>
      </c>
      <c r="Q32" s="434">
        <v>10.351314596966468</v>
      </c>
      <c r="R32" s="433">
        <v>10.287566666666665</v>
      </c>
      <c r="S32" s="435">
        <v>6.7939333333333325</v>
      </c>
      <c r="T32" s="434">
        <v>6.7166250000000005</v>
      </c>
      <c r="U32" s="434">
        <v>7.5891999999999991</v>
      </c>
      <c r="V32" s="434">
        <v>8.7468000000000004</v>
      </c>
      <c r="W32" s="434">
        <v>7.2113666666666667</v>
      </c>
      <c r="X32" s="434">
        <v>5.3372333333333328</v>
      </c>
      <c r="Y32" s="442">
        <v>8.2313666666666663</v>
      </c>
    </row>
    <row r="33" spans="2:25" ht="15" customHeight="1" x14ac:dyDescent="0.25">
      <c r="B33" s="570" t="s">
        <v>91</v>
      </c>
      <c r="C33" s="436">
        <v>3.083366666666667</v>
      </c>
      <c r="D33" s="433">
        <v>4.9211533333333346</v>
      </c>
      <c r="E33" s="434">
        <v>4.4614599999999998</v>
      </c>
      <c r="F33" s="434">
        <v>3.8774933333333332</v>
      </c>
      <c r="G33" s="434">
        <v>4.8937533333333336</v>
      </c>
      <c r="H33" s="433">
        <v>6.1784600000000003</v>
      </c>
      <c r="I33" s="435">
        <v>6.9596</v>
      </c>
      <c r="J33" s="434">
        <v>8.6436400000000013</v>
      </c>
      <c r="K33" s="434">
        <v>9.4408400000000015</v>
      </c>
      <c r="L33" s="434">
        <v>13.759793333333334</v>
      </c>
      <c r="M33" s="433">
        <v>7.4623101498793707</v>
      </c>
      <c r="N33" s="434">
        <v>9.7843866666666681</v>
      </c>
      <c r="O33" s="434">
        <v>12.1767</v>
      </c>
      <c r="P33" s="434">
        <v>11.003066666666667</v>
      </c>
      <c r="Q33" s="434">
        <v>10.046809929078014</v>
      </c>
      <c r="R33" s="433">
        <v>10.283833333333334</v>
      </c>
      <c r="S33" s="435">
        <v>6.3143666666666673</v>
      </c>
      <c r="T33" s="434">
        <v>6.8525</v>
      </c>
      <c r="U33" s="434">
        <v>7.3181000000000003</v>
      </c>
      <c r="V33" s="434">
        <v>8.9881000000000011</v>
      </c>
      <c r="W33" s="434">
        <v>6.4473666666666665</v>
      </c>
      <c r="X33" s="434">
        <v>5.9073000000000002</v>
      </c>
      <c r="Y33" s="442">
        <v>8.8741000000000003</v>
      </c>
    </row>
    <row r="34" spans="2:25" ht="15" customHeight="1" x14ac:dyDescent="0.25">
      <c r="B34" s="570" t="s">
        <v>93</v>
      </c>
      <c r="C34" s="436">
        <v>3.3647354838709678</v>
      </c>
      <c r="D34" s="433">
        <v>4.9148387096774186</v>
      </c>
      <c r="E34" s="434">
        <v>4.0132677419354845</v>
      </c>
      <c r="F34" s="434">
        <v>3.8679225806451614</v>
      </c>
      <c r="G34" s="434">
        <v>4.8186161290322582</v>
      </c>
      <c r="H34" s="433">
        <v>6.2973096774193538</v>
      </c>
      <c r="I34" s="435">
        <v>7.3694032258064519</v>
      </c>
      <c r="J34" s="434">
        <v>9.0975000000000019</v>
      </c>
      <c r="K34" s="434">
        <v>9.4179612903225802</v>
      </c>
      <c r="L34" s="434">
        <v>14.645077419354838</v>
      </c>
      <c r="M34" s="433">
        <v>7.5887794156237742</v>
      </c>
      <c r="N34" s="434">
        <v>9.4357290322580649</v>
      </c>
      <c r="O34" s="434">
        <v>13.2506</v>
      </c>
      <c r="P34" s="434">
        <v>10.328366666666668</v>
      </c>
      <c r="Q34" s="434">
        <v>10.080633333333333</v>
      </c>
      <c r="R34" s="433">
        <v>10.417166666666667</v>
      </c>
      <c r="S34" s="435">
        <v>6.28</v>
      </c>
      <c r="T34" s="434">
        <v>6.7507999999999999</v>
      </c>
      <c r="U34" s="434">
        <v>7.1737666666666664</v>
      </c>
      <c r="V34" s="434">
        <v>9.3256666666666685</v>
      </c>
      <c r="W34" s="434">
        <v>6.0916666666666659</v>
      </c>
      <c r="X34" s="434">
        <v>6.1086999999999998</v>
      </c>
      <c r="Y34" s="442">
        <v>9.8950333333333322</v>
      </c>
    </row>
    <row r="35" spans="2:25" ht="15" customHeight="1" x14ac:dyDescent="0.25">
      <c r="B35" s="570" t="s">
        <v>94</v>
      </c>
      <c r="C35" s="436">
        <v>3.6579999999999999</v>
      </c>
      <c r="D35" s="433">
        <v>4.8974322580645167</v>
      </c>
      <c r="E35" s="434">
        <v>4.1070612903225809</v>
      </c>
      <c r="F35" s="434">
        <v>4.06381935483871</v>
      </c>
      <c r="G35" s="434">
        <v>4.8858612903225795</v>
      </c>
      <c r="H35" s="433">
        <v>6.7591290322580653</v>
      </c>
      <c r="I35" s="435">
        <v>7.554435483870968</v>
      </c>
      <c r="J35" s="434">
        <v>9.3480096774193537</v>
      </c>
      <c r="K35" s="434">
        <v>9.6223741935483886</v>
      </c>
      <c r="L35" s="434">
        <v>13.349477895928318</v>
      </c>
      <c r="M35" s="433">
        <v>7.8674129032258069</v>
      </c>
      <c r="N35" s="434">
        <v>9.5672709677419352</v>
      </c>
      <c r="O35" s="434">
        <v>13.615333333333332</v>
      </c>
      <c r="P35" s="434">
        <v>10.921982389048253</v>
      </c>
      <c r="Q35" s="434">
        <v>10.64930656983571</v>
      </c>
      <c r="R35" s="433">
        <v>10.260266666666666</v>
      </c>
      <c r="S35" s="435">
        <v>6.326433333333334</v>
      </c>
      <c r="T35" s="434">
        <v>6.5966333333333331</v>
      </c>
      <c r="U35" s="434">
        <v>8.0861666666666654</v>
      </c>
      <c r="V35" s="434">
        <v>9.8102</v>
      </c>
      <c r="W35" s="434">
        <v>6.0074333333333341</v>
      </c>
      <c r="X35" s="434">
        <v>6.2925666666666666</v>
      </c>
      <c r="Y35" s="442">
        <v>10.453733333333334</v>
      </c>
    </row>
    <row r="36" spans="2:25" ht="15" customHeight="1" x14ac:dyDescent="0.25">
      <c r="B36" s="570" t="s">
        <v>101</v>
      </c>
      <c r="C36" s="436">
        <v>3.74756</v>
      </c>
      <c r="D36" s="433">
        <v>5.3532466666666663</v>
      </c>
      <c r="E36" s="434">
        <v>4.3275466666666667</v>
      </c>
      <c r="F36" s="434">
        <v>4.3729066666666672</v>
      </c>
      <c r="G36" s="434">
        <v>5.0118599999999995</v>
      </c>
      <c r="H36" s="433">
        <v>6.8103666666666669</v>
      </c>
      <c r="I36" s="435">
        <v>8.3415033333333337</v>
      </c>
      <c r="J36" s="434">
        <v>8.9266866666666669</v>
      </c>
      <c r="K36" s="434">
        <v>10.044600000000001</v>
      </c>
      <c r="L36" s="434">
        <v>12.285595834724544</v>
      </c>
      <c r="M36" s="433">
        <v>8.4337199999999992</v>
      </c>
      <c r="N36" s="434">
        <v>9.4779866666666681</v>
      </c>
      <c r="O36" s="434">
        <v>13.827833333333333</v>
      </c>
      <c r="P36" s="434">
        <v>11.679471868307793</v>
      </c>
      <c r="Q36" s="434">
        <v>10.942366666666667</v>
      </c>
      <c r="R36" s="433">
        <v>10.277833333333334</v>
      </c>
      <c r="S36" s="435">
        <v>6.306566666666666</v>
      </c>
      <c r="T36" s="434">
        <v>6.7633000000000001</v>
      </c>
      <c r="U36" s="434">
        <v>8.5932666666666666</v>
      </c>
      <c r="V36" s="434">
        <v>9.9760333333333335</v>
      </c>
      <c r="W36" s="434">
        <v>6.1600999999999999</v>
      </c>
      <c r="X36" s="434">
        <v>6.6104666666666674</v>
      </c>
      <c r="Y36" s="442">
        <v>10.996266666666669</v>
      </c>
    </row>
    <row r="37" spans="2:25" ht="15" customHeight="1" x14ac:dyDescent="0.25">
      <c r="B37" s="570" t="s">
        <v>95</v>
      </c>
      <c r="C37" s="436">
        <v>3.9168838709677418</v>
      </c>
      <c r="D37" s="433">
        <v>5.3646193548387098</v>
      </c>
      <c r="E37" s="434">
        <v>4.0818032258064507</v>
      </c>
      <c r="F37" s="434">
        <v>4.5366870967741937</v>
      </c>
      <c r="G37" s="434">
        <v>5.2119451612903225</v>
      </c>
      <c r="H37" s="433">
        <v>7.4420838709677417</v>
      </c>
      <c r="I37" s="435">
        <v>9.0139161290322587</v>
      </c>
      <c r="J37" s="434">
        <v>8.1807612903225806</v>
      </c>
      <c r="K37" s="434">
        <v>10.741187096774194</v>
      </c>
      <c r="L37" s="434">
        <v>10.36840322580645</v>
      </c>
      <c r="M37" s="433">
        <v>8.5056387096774202</v>
      </c>
      <c r="N37" s="434">
        <v>10.143261290322581</v>
      </c>
      <c r="O37" s="434">
        <v>13.638466666666666</v>
      </c>
      <c r="P37" s="434">
        <v>11.612977013297872</v>
      </c>
      <c r="Q37" s="434">
        <v>11.238557922961071</v>
      </c>
      <c r="R37" s="433">
        <v>10.022449999999999</v>
      </c>
      <c r="S37" s="435">
        <v>6.7269333333333323</v>
      </c>
      <c r="T37" s="434">
        <v>7.2063999999999995</v>
      </c>
      <c r="U37" s="434">
        <v>8.9939666666666671</v>
      </c>
      <c r="V37" s="434">
        <v>9.9095999999999993</v>
      </c>
      <c r="W37" s="434">
        <v>6.5303333333333322</v>
      </c>
      <c r="X37" s="434">
        <v>6.7668333333333335</v>
      </c>
      <c r="Y37" s="442">
        <v>11.847</v>
      </c>
    </row>
    <row r="38" spans="2:25" ht="15" customHeight="1" x14ac:dyDescent="0.25">
      <c r="B38" s="570" t="s">
        <v>96</v>
      </c>
      <c r="C38" s="436">
        <v>3.9832099999999997</v>
      </c>
      <c r="D38" s="433">
        <v>5.3335000000000008</v>
      </c>
      <c r="E38" s="434">
        <v>3.7645866666666663</v>
      </c>
      <c r="F38" s="434">
        <v>4.5189533333333332</v>
      </c>
      <c r="G38" s="434">
        <v>5.5414733333333324</v>
      </c>
      <c r="H38" s="433">
        <v>7.6931333333333338</v>
      </c>
      <c r="I38" s="435">
        <v>8.5968933333333322</v>
      </c>
      <c r="J38" s="434">
        <v>8.0090599999999998</v>
      </c>
      <c r="K38" s="434">
        <v>11.915653333333333</v>
      </c>
      <c r="L38" s="434">
        <v>7.6100200000000005</v>
      </c>
      <c r="M38" s="433">
        <v>9.2927599999999995</v>
      </c>
      <c r="N38" s="434">
        <v>10.530436666666667</v>
      </c>
      <c r="O38" s="434">
        <v>13.3475</v>
      </c>
      <c r="P38" s="434">
        <v>12.207228210895565</v>
      </c>
      <c r="Q38" s="434">
        <v>11.387979170020685</v>
      </c>
      <c r="R38" s="433">
        <v>9.3141666666666669</v>
      </c>
      <c r="S38" s="435">
        <v>6.6769333333333334</v>
      </c>
      <c r="T38" s="434">
        <v>7.2849333333333339</v>
      </c>
      <c r="U38" s="434">
        <v>9.0225000000000009</v>
      </c>
      <c r="V38" s="434">
        <v>8.6015999999999995</v>
      </c>
      <c r="W38" s="434">
        <v>6.9921999999999995</v>
      </c>
      <c r="X38" s="434">
        <v>7.0289000000000001</v>
      </c>
      <c r="Y38" s="442">
        <v>12.211033333333333</v>
      </c>
    </row>
    <row r="39" spans="2:25" ht="15" customHeight="1" x14ac:dyDescent="0.25">
      <c r="B39" s="570" t="s">
        <v>97</v>
      </c>
      <c r="C39" s="436">
        <v>4.1893580645161288</v>
      </c>
      <c r="D39" s="433">
        <v>5.5993612903225802</v>
      </c>
      <c r="E39" s="434">
        <v>3.4229096774193546</v>
      </c>
      <c r="F39" s="434">
        <v>4.5625064516129035</v>
      </c>
      <c r="G39" s="434">
        <v>5.7443741935483876</v>
      </c>
      <c r="H39" s="433">
        <v>7.2382774193548389</v>
      </c>
      <c r="I39" s="435">
        <v>8.7405322580645155</v>
      </c>
      <c r="J39" s="434">
        <v>8.2404193548387088</v>
      </c>
      <c r="K39" s="434">
        <v>11.949809677419355</v>
      </c>
      <c r="L39" s="434">
        <v>5.8418225806451618</v>
      </c>
      <c r="M39" s="433">
        <v>9.9352849344629384</v>
      </c>
      <c r="N39" s="434">
        <v>11.111077419354839</v>
      </c>
      <c r="O39" s="434">
        <v>13.867833333333335</v>
      </c>
      <c r="P39" s="434">
        <v>12.756829773506631</v>
      </c>
      <c r="Q39" s="434">
        <v>11.088150000000001</v>
      </c>
      <c r="R39" s="433">
        <v>7.886825</v>
      </c>
      <c r="S39" s="435">
        <v>6.5778333333333334</v>
      </c>
      <c r="T39" s="434">
        <v>7.695733333333334</v>
      </c>
      <c r="U39" s="434">
        <v>8.8886333333333329</v>
      </c>
      <c r="V39" s="434">
        <v>7.7601000000000004</v>
      </c>
      <c r="W39" s="434">
        <v>7.2648666666666672</v>
      </c>
      <c r="X39" s="434">
        <v>7.1539000000000001</v>
      </c>
      <c r="Y39" s="442">
        <v>10.587766666666667</v>
      </c>
    </row>
    <row r="40" spans="2:25" ht="15" customHeight="1" thickBot="1" x14ac:dyDescent="0.3">
      <c r="B40" s="605"/>
      <c r="C40" s="428"/>
      <c r="D40" s="284"/>
      <c r="E40" s="284"/>
      <c r="F40" s="429"/>
      <c r="G40" s="429"/>
      <c r="H40" s="284"/>
      <c r="I40" s="444"/>
      <c r="J40" s="429"/>
      <c r="K40" s="429"/>
      <c r="L40" s="429"/>
      <c r="M40" s="284"/>
      <c r="N40" s="289"/>
      <c r="O40" s="289"/>
      <c r="P40" s="289"/>
      <c r="Q40" s="289"/>
      <c r="R40" s="283"/>
      <c r="S40" s="430"/>
      <c r="T40" s="751"/>
      <c r="U40" s="768"/>
      <c r="V40" s="800"/>
      <c r="W40" s="804"/>
      <c r="X40" s="833"/>
      <c r="Y40" s="291"/>
    </row>
    <row r="41" spans="2:25" ht="24.9" customHeight="1" thickBot="1" x14ac:dyDescent="0.3">
      <c r="B41" s="557" t="s">
        <v>83</v>
      </c>
      <c r="C41" s="312">
        <v>3.3049747945205477</v>
      </c>
      <c r="D41" s="431">
        <v>5.0286754098360662</v>
      </c>
      <c r="E41" s="431">
        <v>4.5186290410958909</v>
      </c>
      <c r="F41" s="431">
        <v>4.0103934246575346</v>
      </c>
      <c r="G41" s="432">
        <v>5.2266158904109581</v>
      </c>
      <c r="H41" s="431">
        <v>6.4815612021857927</v>
      </c>
      <c r="I41" s="432">
        <v>7.7253172602739717</v>
      </c>
      <c r="J41" s="451">
        <v>8.5894967123287671</v>
      </c>
      <c r="K41" s="451">
        <v>9.6694528767123291</v>
      </c>
      <c r="L41" s="451">
        <v>11.563677567801955</v>
      </c>
      <c r="M41" s="431">
        <v>7.6695410941070392</v>
      </c>
      <c r="N41" s="451">
        <v>10.100089589041096</v>
      </c>
      <c r="O41" s="451">
        <v>12.762499999999999</v>
      </c>
      <c r="P41" s="451">
        <v>12.348699999999999</v>
      </c>
      <c r="Q41" s="451">
        <v>11.145899999999999</v>
      </c>
      <c r="R41" s="431">
        <v>10.2204</v>
      </c>
      <c r="S41" s="432">
        <v>6.694</v>
      </c>
      <c r="T41" s="750">
        <v>6.7283999999999997</v>
      </c>
      <c r="U41" s="767">
        <v>8.2761999999999993</v>
      </c>
      <c r="V41" s="799">
        <v>8.9396000000000004</v>
      </c>
      <c r="W41" s="803">
        <v>6.9564000000000004</v>
      </c>
      <c r="X41" s="832">
        <v>6.4066999999999998</v>
      </c>
      <c r="Y41" s="443">
        <v>9.6835000000000004</v>
      </c>
    </row>
    <row r="42" spans="2:25" ht="15" customHeight="1" thickBot="1" x14ac:dyDescent="0.3"/>
    <row r="43" spans="2:25" ht="54.9" customHeight="1" x14ac:dyDescent="0.25">
      <c r="B43" s="954" t="s">
        <v>206</v>
      </c>
      <c r="C43" s="955"/>
      <c r="D43" s="955"/>
      <c r="E43" s="955"/>
      <c r="F43" s="955"/>
      <c r="G43" s="955"/>
      <c r="H43" s="955"/>
      <c r="I43" s="955"/>
      <c r="J43" s="955"/>
      <c r="K43" s="955"/>
      <c r="L43" s="955"/>
      <c r="M43" s="955"/>
      <c r="N43" s="956"/>
    </row>
    <row r="44" spans="2:25" ht="15" customHeight="1" thickBot="1" x14ac:dyDescent="0.3">
      <c r="B44" s="957"/>
      <c r="C44" s="958"/>
      <c r="D44" s="958"/>
      <c r="E44" s="958"/>
      <c r="F44" s="958"/>
      <c r="G44" s="958"/>
      <c r="H44" s="958"/>
      <c r="I44" s="958"/>
      <c r="J44" s="958"/>
      <c r="K44" s="958"/>
      <c r="L44" s="958"/>
      <c r="M44" s="958"/>
      <c r="N44" s="959"/>
    </row>
    <row r="45" spans="2:25" ht="15" customHeight="1" thickBot="1" x14ac:dyDescent="0.3">
      <c r="B45" s="615" t="s">
        <v>82</v>
      </c>
      <c r="C45" s="547">
        <v>1999</v>
      </c>
      <c r="D45" s="624">
        <v>2000</v>
      </c>
      <c r="E45" s="625">
        <v>2001</v>
      </c>
      <c r="F45" s="625">
        <v>2002</v>
      </c>
      <c r="G45" s="625">
        <v>2003</v>
      </c>
      <c r="H45" s="624">
        <v>2004</v>
      </c>
      <c r="I45" s="626">
        <v>2005</v>
      </c>
      <c r="J45" s="625">
        <v>2006</v>
      </c>
      <c r="K45" s="625">
        <v>2007</v>
      </c>
      <c r="L45" s="625">
        <v>2008</v>
      </c>
      <c r="M45" s="624">
        <v>2009</v>
      </c>
      <c r="N45" s="627">
        <v>2010</v>
      </c>
    </row>
    <row r="46" spans="2:25" ht="24.9" customHeight="1" thickBot="1" x14ac:dyDescent="0.3">
      <c r="B46" s="619" t="s">
        <v>227</v>
      </c>
      <c r="C46" s="620">
        <v>6281070</v>
      </c>
      <c r="D46" s="621">
        <v>16018910</v>
      </c>
      <c r="E46" s="621">
        <v>14225543.550000001</v>
      </c>
      <c r="F46" s="621">
        <v>10808985.07</v>
      </c>
      <c r="G46" s="621">
        <v>20329200.420000002</v>
      </c>
      <c r="H46" s="621">
        <v>27932995.800000001</v>
      </c>
      <c r="I46" s="621">
        <v>38839551.600000009</v>
      </c>
      <c r="J46" s="621">
        <v>48119909.109999999</v>
      </c>
      <c r="K46" s="621">
        <v>59546970.390000015</v>
      </c>
      <c r="L46" s="621">
        <v>78311576</v>
      </c>
      <c r="M46" s="621">
        <v>55382650</v>
      </c>
      <c r="N46" s="628">
        <v>79613524</v>
      </c>
    </row>
    <row r="47" spans="2:25" ht="15" customHeight="1" x14ac:dyDescent="0.25">
      <c r="E47"/>
      <c r="F47"/>
      <c r="G47"/>
      <c r="H47"/>
    </row>
    <row r="48" spans="2:25" s="14" customFormat="1" ht="15" customHeight="1" x14ac:dyDescent="0.25">
      <c r="B48" s="14" t="s">
        <v>219</v>
      </c>
    </row>
  </sheetData>
  <mergeCells count="10">
    <mergeCell ref="B43:N44"/>
    <mergeCell ref="B24:B26"/>
    <mergeCell ref="B5:B7"/>
    <mergeCell ref="C6:Y6"/>
    <mergeCell ref="C5:Y5"/>
    <mergeCell ref="B1:Y1"/>
    <mergeCell ref="B2:Y2"/>
    <mergeCell ref="B3:Y3"/>
    <mergeCell ref="C24:Y24"/>
    <mergeCell ref="C25:Y25"/>
  </mergeCells>
  <phoneticPr fontId="10" type="noConversion"/>
  <pageMargins left="0.74803149606299213" right="0.74803149606299213" top="0.98425196850393704" bottom="0.98425196850393704" header="0" footer="0"/>
  <pageSetup scale="4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CE221"/>
  <sheetViews>
    <sheetView workbookViewId="0">
      <selection activeCell="AA35" sqref="AA35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2.44140625" style="47" customWidth="1"/>
    <col min="3" max="13" width="10.6640625" style="13" customWidth="1"/>
    <col min="14" max="14" width="21.5546875" style="13" customWidth="1"/>
    <col min="15" max="15" width="10.88671875" style="13" customWidth="1"/>
    <col min="16" max="16" width="11" style="13" customWidth="1"/>
    <col min="17" max="17" width="8.44140625" style="13" customWidth="1"/>
    <col min="18" max="18" width="10.44140625" style="13" customWidth="1"/>
    <col min="19" max="19" width="10.5546875" style="13" customWidth="1"/>
    <col min="20" max="20" width="10.109375" style="13" customWidth="1"/>
    <col min="21" max="21" width="12.33203125" style="13" customWidth="1"/>
    <col min="22" max="22" width="10.88671875" style="13" customWidth="1"/>
    <col min="23" max="25" width="11.44140625" style="13"/>
    <col min="26" max="26" width="22.44140625" style="13" customWidth="1"/>
    <col min="27" max="37" width="11.44140625" style="13"/>
    <col min="38" max="38" width="20" style="13" customWidth="1"/>
    <col min="39" max="49" width="11.44140625" style="13"/>
    <col min="50" max="50" width="19.5546875" style="13" customWidth="1"/>
    <col min="51" max="61" width="11.44140625" style="13"/>
    <col min="62" max="62" width="19.6640625" style="13" customWidth="1"/>
    <col min="63" max="73" width="11.44140625" style="13"/>
    <col min="74" max="74" width="20.44140625" style="13" customWidth="1"/>
    <col min="75" max="16384" width="11.44140625" style="13"/>
  </cols>
  <sheetData>
    <row r="1" spans="2:26" ht="15" customHeight="1" x14ac:dyDescent="0.25">
      <c r="B1" s="864" t="s">
        <v>207</v>
      </c>
      <c r="C1" s="864"/>
      <c r="D1" s="864"/>
      <c r="E1" s="864"/>
      <c r="F1" s="864"/>
      <c r="G1" s="864"/>
      <c r="H1" s="864"/>
      <c r="I1" s="864"/>
      <c r="J1" s="864"/>
      <c r="K1" s="864"/>
      <c r="N1" s="864" t="s">
        <v>207</v>
      </c>
      <c r="O1" s="864"/>
      <c r="P1" s="864"/>
      <c r="Q1" s="864"/>
      <c r="R1" s="864"/>
      <c r="S1" s="864"/>
      <c r="T1" s="864"/>
      <c r="U1" s="864"/>
      <c r="V1" s="864"/>
      <c r="W1" s="864"/>
    </row>
    <row r="2" spans="2:26" ht="15" customHeight="1" x14ac:dyDescent="0.25">
      <c r="B2" s="864" t="s">
        <v>296</v>
      </c>
      <c r="C2" s="864"/>
      <c r="D2" s="864"/>
      <c r="E2" s="864"/>
      <c r="F2" s="864"/>
      <c r="G2" s="864"/>
      <c r="H2" s="864"/>
      <c r="I2" s="864"/>
      <c r="J2" s="864"/>
      <c r="K2" s="864"/>
      <c r="N2" s="864" t="s">
        <v>296</v>
      </c>
      <c r="O2" s="864"/>
      <c r="P2" s="864"/>
      <c r="Q2" s="864"/>
      <c r="R2" s="864"/>
      <c r="S2" s="864"/>
      <c r="T2" s="864"/>
      <c r="U2" s="864"/>
      <c r="V2" s="864"/>
      <c r="W2" s="864"/>
    </row>
    <row r="3" spans="2:26" ht="15" customHeight="1" x14ac:dyDescent="0.25">
      <c r="B3" s="864" t="s">
        <v>42</v>
      </c>
      <c r="C3" s="864"/>
      <c r="D3" s="864"/>
      <c r="E3" s="864"/>
      <c r="F3" s="864"/>
      <c r="G3" s="864"/>
      <c r="H3" s="864"/>
      <c r="I3" s="864"/>
      <c r="J3" s="864"/>
      <c r="K3" s="864"/>
      <c r="N3" s="864" t="s">
        <v>42</v>
      </c>
      <c r="O3" s="864"/>
      <c r="P3" s="864"/>
      <c r="Q3" s="864"/>
      <c r="R3" s="864"/>
      <c r="S3" s="864"/>
      <c r="T3" s="864"/>
      <c r="U3" s="864"/>
      <c r="V3" s="864"/>
      <c r="W3" s="864"/>
    </row>
    <row r="4" spans="2:26" ht="15" customHeight="1" x14ac:dyDescent="0.25">
      <c r="B4" s="864">
        <v>2020</v>
      </c>
      <c r="C4" s="864"/>
      <c r="D4" s="864"/>
      <c r="E4" s="864"/>
      <c r="F4" s="864"/>
      <c r="G4" s="864"/>
      <c r="H4" s="864"/>
      <c r="I4" s="864"/>
      <c r="J4" s="864"/>
      <c r="K4" s="864"/>
      <c r="N4" s="864">
        <v>2019</v>
      </c>
      <c r="O4" s="864"/>
      <c r="P4" s="864"/>
      <c r="Q4" s="864"/>
      <c r="R4" s="864"/>
      <c r="S4" s="864"/>
      <c r="T4" s="864"/>
      <c r="U4" s="864"/>
      <c r="V4" s="864"/>
      <c r="W4" s="864"/>
    </row>
    <row r="5" spans="2:26" ht="15" customHeight="1" x14ac:dyDescent="0.25">
      <c r="B5" s="864" t="s">
        <v>7</v>
      </c>
      <c r="C5" s="864"/>
      <c r="D5" s="864"/>
      <c r="E5" s="864"/>
      <c r="F5" s="864"/>
      <c r="G5" s="864"/>
      <c r="H5" s="864"/>
      <c r="I5" s="864"/>
      <c r="J5" s="864"/>
      <c r="K5" s="864"/>
      <c r="N5" s="864" t="s">
        <v>7</v>
      </c>
      <c r="O5" s="864"/>
      <c r="P5" s="864"/>
      <c r="Q5" s="864"/>
      <c r="R5" s="864"/>
      <c r="S5" s="864"/>
      <c r="T5" s="864"/>
      <c r="U5" s="864"/>
      <c r="V5" s="864"/>
      <c r="W5" s="864"/>
    </row>
    <row r="6" spans="2:26" ht="15" customHeight="1" thickBot="1" x14ac:dyDescent="0.3">
      <c r="B6" s="811"/>
      <c r="C6" s="811"/>
      <c r="D6" s="811"/>
      <c r="E6" s="811"/>
      <c r="F6" s="811"/>
      <c r="G6" s="811"/>
      <c r="H6" s="811"/>
      <c r="I6" s="811"/>
      <c r="J6" s="811"/>
      <c r="K6" s="811"/>
      <c r="N6" s="811"/>
      <c r="O6" s="811"/>
      <c r="P6" s="811"/>
      <c r="Q6" s="811"/>
      <c r="R6" s="811"/>
      <c r="S6" s="811"/>
      <c r="T6" s="811"/>
      <c r="U6" s="811"/>
      <c r="V6" s="811"/>
      <c r="W6" s="811"/>
    </row>
    <row r="7" spans="2:26" ht="15" customHeight="1" thickBot="1" x14ac:dyDescent="0.3">
      <c r="B7" s="919" t="s">
        <v>269</v>
      </c>
      <c r="C7" s="920"/>
      <c r="D7" s="920"/>
      <c r="E7" s="920"/>
      <c r="F7" s="920"/>
      <c r="G7" s="920"/>
      <c r="H7" s="920"/>
      <c r="I7" s="920"/>
      <c r="J7" s="920"/>
      <c r="K7" s="921"/>
      <c r="N7" s="919" t="s">
        <v>269</v>
      </c>
      <c r="O7" s="920"/>
      <c r="P7" s="920"/>
      <c r="Q7" s="920"/>
      <c r="R7" s="920"/>
      <c r="S7" s="920"/>
      <c r="T7" s="920"/>
      <c r="U7" s="920"/>
      <c r="V7" s="920"/>
      <c r="W7" s="921"/>
    </row>
    <row r="8" spans="2:26" ht="15" customHeight="1" x14ac:dyDescent="0.25">
      <c r="B8" s="975" t="s">
        <v>100</v>
      </c>
      <c r="C8" s="916" t="s">
        <v>46</v>
      </c>
      <c r="D8" s="918"/>
      <c r="E8" s="917"/>
      <c r="F8" s="978" t="s">
        <v>45</v>
      </c>
      <c r="G8" s="979"/>
      <c r="H8" s="980"/>
      <c r="I8" s="916" t="s">
        <v>44</v>
      </c>
      <c r="J8" s="918"/>
      <c r="K8" s="917"/>
      <c r="N8" s="975" t="s">
        <v>100</v>
      </c>
      <c r="O8" s="916" t="s">
        <v>46</v>
      </c>
      <c r="P8" s="918"/>
      <c r="Q8" s="917"/>
      <c r="R8" s="978" t="s">
        <v>45</v>
      </c>
      <c r="S8" s="979"/>
      <c r="T8" s="980"/>
      <c r="U8" s="916" t="s">
        <v>44</v>
      </c>
      <c r="V8" s="918"/>
      <c r="W8" s="917"/>
    </row>
    <row r="9" spans="2:26" ht="15" customHeight="1" x14ac:dyDescent="0.25">
      <c r="B9" s="975"/>
      <c r="C9" s="964" t="s">
        <v>273</v>
      </c>
      <c r="D9" s="967" t="s">
        <v>274</v>
      </c>
      <c r="E9" s="970" t="s">
        <v>34</v>
      </c>
      <c r="F9" s="964" t="s">
        <v>273</v>
      </c>
      <c r="G9" s="967" t="s">
        <v>274</v>
      </c>
      <c r="H9" s="970" t="s">
        <v>34</v>
      </c>
      <c r="I9" s="964" t="s">
        <v>273</v>
      </c>
      <c r="J9" s="967" t="s">
        <v>274</v>
      </c>
      <c r="K9" s="970" t="s">
        <v>34</v>
      </c>
      <c r="N9" s="975"/>
      <c r="O9" s="964" t="s">
        <v>273</v>
      </c>
      <c r="P9" s="967" t="s">
        <v>274</v>
      </c>
      <c r="Q9" s="970" t="s">
        <v>34</v>
      </c>
      <c r="R9" s="964" t="s">
        <v>273</v>
      </c>
      <c r="S9" s="967" t="s">
        <v>274</v>
      </c>
      <c r="T9" s="970" t="s">
        <v>34</v>
      </c>
      <c r="U9" s="964" t="s">
        <v>273</v>
      </c>
      <c r="V9" s="967" t="s">
        <v>274</v>
      </c>
      <c r="W9" s="970" t="s">
        <v>34</v>
      </c>
    </row>
    <row r="10" spans="2:26" ht="15" customHeight="1" x14ac:dyDescent="0.25">
      <c r="B10" s="976"/>
      <c r="C10" s="965"/>
      <c r="D10" s="968"/>
      <c r="E10" s="971"/>
      <c r="F10" s="965"/>
      <c r="G10" s="968"/>
      <c r="H10" s="971"/>
      <c r="I10" s="965"/>
      <c r="J10" s="968"/>
      <c r="K10" s="971"/>
      <c r="N10" s="976"/>
      <c r="O10" s="965"/>
      <c r="P10" s="968"/>
      <c r="Q10" s="971"/>
      <c r="R10" s="965"/>
      <c r="S10" s="968"/>
      <c r="T10" s="971"/>
      <c r="U10" s="965"/>
      <c r="V10" s="968"/>
      <c r="W10" s="971"/>
    </row>
    <row r="11" spans="2:26" ht="15" customHeight="1" thickBot="1" x14ac:dyDescent="0.3">
      <c r="B11" s="977"/>
      <c r="C11" s="966"/>
      <c r="D11" s="969"/>
      <c r="E11" s="972"/>
      <c r="F11" s="966"/>
      <c r="G11" s="969"/>
      <c r="H11" s="972"/>
      <c r="I11" s="966"/>
      <c r="J11" s="969"/>
      <c r="K11" s="972"/>
      <c r="N11" s="977"/>
      <c r="O11" s="966"/>
      <c r="P11" s="969"/>
      <c r="Q11" s="972"/>
      <c r="R11" s="966"/>
      <c r="S11" s="969"/>
      <c r="T11" s="972"/>
      <c r="U11" s="966"/>
      <c r="V11" s="969"/>
      <c r="W11" s="972"/>
    </row>
    <row r="12" spans="2:26" ht="15" customHeight="1" x14ac:dyDescent="0.25">
      <c r="B12" s="606"/>
      <c r="C12" s="629"/>
      <c r="D12" s="630"/>
      <c r="E12" s="631"/>
      <c r="F12" s="632"/>
      <c r="G12" s="633"/>
      <c r="H12" s="634"/>
      <c r="I12" s="635"/>
      <c r="J12" s="630"/>
      <c r="K12" s="634"/>
      <c r="N12" s="606"/>
      <c r="O12" s="629"/>
      <c r="P12" s="630"/>
      <c r="Q12" s="631"/>
      <c r="R12" s="632"/>
      <c r="S12" s="633"/>
      <c r="T12" s="634"/>
      <c r="U12" s="635"/>
      <c r="V12" s="630"/>
      <c r="W12" s="634"/>
    </row>
    <row r="13" spans="2:26" ht="15" customHeight="1" x14ac:dyDescent="0.25">
      <c r="B13" s="570"/>
      <c r="C13" s="636"/>
      <c r="D13" s="618"/>
      <c r="E13" s="614"/>
      <c r="F13" s="637"/>
      <c r="G13" s="638"/>
      <c r="H13" s="614"/>
      <c r="I13" s="636"/>
      <c r="J13" s="618"/>
      <c r="K13" s="614"/>
      <c r="N13" s="570"/>
      <c r="O13" s="636"/>
      <c r="P13" s="618"/>
      <c r="Q13" s="614"/>
      <c r="R13" s="637"/>
      <c r="S13" s="638"/>
      <c r="T13" s="614"/>
      <c r="U13" s="636"/>
      <c r="V13" s="618"/>
      <c r="W13" s="614"/>
    </row>
    <row r="14" spans="2:26" ht="15" customHeight="1" x14ac:dyDescent="0.25">
      <c r="B14" s="570" t="s">
        <v>297</v>
      </c>
      <c r="C14" s="636">
        <v>3.08</v>
      </c>
      <c r="D14" s="618">
        <v>2.95</v>
      </c>
      <c r="E14" s="614">
        <v>3.08</v>
      </c>
      <c r="F14" s="637">
        <v>3.21</v>
      </c>
      <c r="G14" s="638">
        <v>2.98</v>
      </c>
      <c r="H14" s="614">
        <v>2.82</v>
      </c>
      <c r="I14" s="636">
        <v>3.78</v>
      </c>
      <c r="J14" s="618">
        <v>3.42</v>
      </c>
      <c r="K14" s="614">
        <v>3.12</v>
      </c>
      <c r="N14" s="570" t="s">
        <v>297</v>
      </c>
      <c r="O14" s="636">
        <v>3.01</v>
      </c>
      <c r="P14" s="618">
        <v>2.86</v>
      </c>
      <c r="Q14" s="614">
        <v>2.7</v>
      </c>
      <c r="R14" s="637">
        <v>3.05</v>
      </c>
      <c r="S14" s="638">
        <v>2.82</v>
      </c>
      <c r="T14" s="614">
        <v>2.92</v>
      </c>
      <c r="U14" s="636">
        <v>3.66</v>
      </c>
      <c r="V14" s="618">
        <v>3.32</v>
      </c>
      <c r="W14" s="614">
        <v>3.25</v>
      </c>
      <c r="Y14" s="681"/>
      <c r="Z14" s="681"/>
    </row>
    <row r="15" spans="2:26" ht="15" customHeight="1" x14ac:dyDescent="0.25">
      <c r="B15" s="570"/>
      <c r="C15" s="636"/>
      <c r="D15" s="618"/>
      <c r="E15" s="614"/>
      <c r="F15" s="637"/>
      <c r="G15" s="638"/>
      <c r="H15" s="614"/>
      <c r="I15" s="636"/>
      <c r="J15" s="618"/>
      <c r="K15" s="614"/>
      <c r="N15" s="570"/>
      <c r="O15" s="636"/>
      <c r="P15" s="618"/>
      <c r="Q15" s="614"/>
      <c r="R15" s="637"/>
      <c r="S15" s="638"/>
      <c r="T15" s="614"/>
      <c r="U15" s="636"/>
      <c r="V15" s="618"/>
      <c r="W15" s="614"/>
      <c r="Y15" s="681"/>
      <c r="Z15" s="681"/>
    </row>
    <row r="16" spans="2:26" ht="15" customHeight="1" x14ac:dyDescent="0.25">
      <c r="B16" s="570"/>
      <c r="C16" s="636"/>
      <c r="D16" s="618"/>
      <c r="E16" s="614"/>
      <c r="F16" s="637"/>
      <c r="G16" s="638"/>
      <c r="H16" s="614"/>
      <c r="I16" s="636"/>
      <c r="J16" s="618"/>
      <c r="K16" s="614"/>
      <c r="N16" s="570"/>
      <c r="O16" s="636"/>
      <c r="P16" s="618"/>
      <c r="Q16" s="614"/>
      <c r="R16" s="637"/>
      <c r="S16" s="638"/>
      <c r="T16" s="614"/>
      <c r="U16" s="636"/>
      <c r="V16" s="618"/>
      <c r="W16" s="614"/>
      <c r="Y16" s="681"/>
      <c r="Z16" s="681"/>
    </row>
    <row r="17" spans="2:26" ht="15" customHeight="1" x14ac:dyDescent="0.25">
      <c r="B17" s="570" t="s">
        <v>298</v>
      </c>
      <c r="C17" s="636">
        <v>2.4</v>
      </c>
      <c r="D17" s="618">
        <v>2.2799999999999998</v>
      </c>
      <c r="E17" s="614">
        <v>3.2</v>
      </c>
      <c r="F17" s="637">
        <v>2.29</v>
      </c>
      <c r="G17" s="638">
        <v>2.1</v>
      </c>
      <c r="H17" s="614">
        <v>1.95</v>
      </c>
      <c r="I17" s="636">
        <v>2.88</v>
      </c>
      <c r="J17" s="618">
        <v>2.57</v>
      </c>
      <c r="K17" s="614">
        <v>2.33</v>
      </c>
      <c r="N17" s="570" t="s">
        <v>298</v>
      </c>
      <c r="O17" s="636">
        <v>3.45</v>
      </c>
      <c r="P17" s="618">
        <v>3.3</v>
      </c>
      <c r="Q17" s="614">
        <v>2.81</v>
      </c>
      <c r="R17" s="637">
        <v>3.55</v>
      </c>
      <c r="S17" s="638">
        <v>3.31</v>
      </c>
      <c r="T17" s="614">
        <v>3.08</v>
      </c>
      <c r="U17" s="636">
        <v>4.03</v>
      </c>
      <c r="V17" s="618">
        <v>3.66</v>
      </c>
      <c r="W17" s="614">
        <v>3.39</v>
      </c>
      <c r="Y17" s="681"/>
      <c r="Z17" s="681"/>
    </row>
    <row r="18" spans="2:26" ht="15" customHeight="1" x14ac:dyDescent="0.25">
      <c r="B18" s="570"/>
      <c r="C18" s="636"/>
      <c r="D18" s="618"/>
      <c r="E18" s="614"/>
      <c r="F18" s="637"/>
      <c r="G18" s="638"/>
      <c r="H18" s="614"/>
      <c r="I18" s="636"/>
      <c r="J18" s="618"/>
      <c r="K18" s="614"/>
      <c r="N18" s="570"/>
      <c r="O18" s="636"/>
      <c r="P18" s="618"/>
      <c r="Q18" s="614"/>
      <c r="R18" s="637"/>
      <c r="S18" s="638"/>
      <c r="T18" s="614"/>
      <c r="U18" s="636"/>
      <c r="V18" s="618"/>
      <c r="W18" s="614"/>
      <c r="Y18" s="681"/>
      <c r="Z18" s="681"/>
    </row>
    <row r="19" spans="2:26" ht="15" customHeight="1" x14ac:dyDescent="0.25">
      <c r="B19" s="570"/>
      <c r="C19" s="636"/>
      <c r="D19" s="618"/>
      <c r="E19" s="614"/>
      <c r="F19" s="637"/>
      <c r="G19" s="638"/>
      <c r="H19" s="614"/>
      <c r="I19" s="636"/>
      <c r="J19" s="618"/>
      <c r="K19" s="614"/>
      <c r="N19" s="570"/>
      <c r="O19" s="636"/>
      <c r="P19" s="618"/>
      <c r="Q19" s="614"/>
      <c r="R19" s="637"/>
      <c r="S19" s="638"/>
      <c r="T19" s="614"/>
      <c r="U19" s="636"/>
      <c r="V19" s="618"/>
      <c r="W19" s="614"/>
      <c r="Y19" s="681"/>
      <c r="Z19" s="681"/>
    </row>
    <row r="20" spans="2:26" ht="15" customHeight="1" x14ac:dyDescent="0.25">
      <c r="B20" s="570" t="s">
        <v>299</v>
      </c>
      <c r="C20" s="636">
        <v>2.75</v>
      </c>
      <c r="D20" s="618">
        <v>2.64</v>
      </c>
      <c r="E20" s="614">
        <v>3.32</v>
      </c>
      <c r="F20" s="637">
        <v>2.66</v>
      </c>
      <c r="G20" s="638">
        <v>2.5099999999999998</v>
      </c>
      <c r="H20" s="614">
        <v>2.16</v>
      </c>
      <c r="I20" s="636">
        <v>3.29</v>
      </c>
      <c r="J20" s="618">
        <v>3.02</v>
      </c>
      <c r="K20" s="614">
        <v>2.6</v>
      </c>
      <c r="N20" s="570" t="s">
        <v>299</v>
      </c>
      <c r="O20" s="636">
        <v>3.31</v>
      </c>
      <c r="P20" s="618">
        <v>3.15</v>
      </c>
      <c r="Q20" s="614">
        <v>2.7</v>
      </c>
      <c r="R20" s="637">
        <v>3.37</v>
      </c>
      <c r="S20" s="638">
        <v>3.12</v>
      </c>
      <c r="T20" s="614">
        <v>2.92</v>
      </c>
      <c r="U20" s="636">
        <v>3.88</v>
      </c>
      <c r="V20" s="618">
        <v>3.49</v>
      </c>
      <c r="W20" s="614">
        <v>3.25</v>
      </c>
      <c r="Y20" s="681"/>
      <c r="Z20" s="681"/>
    </row>
    <row r="21" spans="2:26" ht="15" customHeight="1" x14ac:dyDescent="0.25">
      <c r="B21" s="570"/>
      <c r="C21" s="636"/>
      <c r="D21" s="618"/>
      <c r="E21" s="614"/>
      <c r="F21" s="637"/>
      <c r="G21" s="638"/>
      <c r="H21" s="614"/>
      <c r="I21" s="636"/>
      <c r="J21" s="618"/>
      <c r="K21" s="614"/>
      <c r="N21" s="570"/>
      <c r="O21" s="636"/>
      <c r="P21" s="618"/>
      <c r="Q21" s="614"/>
      <c r="R21" s="637"/>
      <c r="S21" s="638"/>
      <c r="T21" s="614"/>
      <c r="U21" s="636"/>
      <c r="V21" s="618"/>
      <c r="W21" s="614"/>
      <c r="Y21" s="681"/>
      <c r="Z21" s="681"/>
    </row>
    <row r="22" spans="2:26" ht="15" customHeight="1" x14ac:dyDescent="0.25">
      <c r="B22" s="570"/>
      <c r="C22" s="636"/>
      <c r="D22" s="618"/>
      <c r="E22" s="614"/>
      <c r="F22" s="637"/>
      <c r="G22" s="638"/>
      <c r="H22" s="614"/>
      <c r="I22" s="636"/>
      <c r="J22" s="618"/>
      <c r="K22" s="614"/>
      <c r="N22" s="570"/>
      <c r="O22" s="636"/>
      <c r="P22" s="618"/>
      <c r="Q22" s="614"/>
      <c r="R22" s="637"/>
      <c r="S22" s="638"/>
      <c r="T22" s="614"/>
      <c r="U22" s="636"/>
      <c r="V22" s="618"/>
      <c r="W22" s="614"/>
      <c r="Y22" s="681"/>
      <c r="Z22" s="681"/>
    </row>
    <row r="23" spans="2:26" ht="15" customHeight="1" thickBot="1" x14ac:dyDescent="0.3">
      <c r="B23" s="604" t="s">
        <v>300</v>
      </c>
      <c r="C23" s="639">
        <v>2.68</v>
      </c>
      <c r="D23" s="640">
        <v>2.58</v>
      </c>
      <c r="E23" s="641">
        <v>3.42</v>
      </c>
      <c r="F23" s="642">
        <v>2.62</v>
      </c>
      <c r="G23" s="643">
        <v>2.46</v>
      </c>
      <c r="H23" s="641">
        <v>2.12</v>
      </c>
      <c r="I23" s="639">
        <v>3.3</v>
      </c>
      <c r="J23" s="640">
        <v>3.04</v>
      </c>
      <c r="K23" s="641">
        <v>2.57</v>
      </c>
      <c r="N23" s="604" t="s">
        <v>300</v>
      </c>
      <c r="O23" s="639">
        <v>3.2</v>
      </c>
      <c r="P23" s="640">
        <v>3.05</v>
      </c>
      <c r="Q23" s="641">
        <v>2.73</v>
      </c>
      <c r="R23" s="642">
        <v>3.26</v>
      </c>
      <c r="S23" s="643">
        <v>3</v>
      </c>
      <c r="T23" s="641">
        <v>2.95</v>
      </c>
      <c r="U23" s="639">
        <v>3.88</v>
      </c>
      <c r="V23" s="640">
        <v>3.48</v>
      </c>
      <c r="W23" s="641">
        <v>3.29</v>
      </c>
      <c r="Y23" s="681"/>
      <c r="Z23" s="681"/>
    </row>
    <row r="24" spans="2:26" ht="15" customHeight="1" thickBot="1" x14ac:dyDescent="0.3">
      <c r="B24" s="597" t="s">
        <v>147</v>
      </c>
      <c r="C24" s="644">
        <f t="shared" ref="C24:K24" si="0">AVERAGE(C12:C23)</f>
        <v>2.7275</v>
      </c>
      <c r="D24" s="610">
        <f t="shared" si="0"/>
        <v>2.6125000000000003</v>
      </c>
      <c r="E24" s="611">
        <f t="shared" si="0"/>
        <v>3.2549999999999999</v>
      </c>
      <c r="F24" s="644">
        <f t="shared" si="0"/>
        <v>2.6950000000000003</v>
      </c>
      <c r="G24" s="610">
        <f t="shared" si="0"/>
        <v>2.5125000000000002</v>
      </c>
      <c r="H24" s="611">
        <f t="shared" si="0"/>
        <v>2.2625000000000002</v>
      </c>
      <c r="I24" s="644">
        <f t="shared" si="0"/>
        <v>3.3125</v>
      </c>
      <c r="J24" s="610">
        <f t="shared" si="0"/>
        <v>3.0125000000000002</v>
      </c>
      <c r="K24" s="611">
        <f t="shared" si="0"/>
        <v>2.6550000000000002</v>
      </c>
      <c r="N24" s="597" t="s">
        <v>147</v>
      </c>
      <c r="O24" s="644">
        <f t="shared" ref="O24:W24" si="1">AVERAGE(O12:O23)</f>
        <v>3.2424999999999997</v>
      </c>
      <c r="P24" s="610">
        <f t="shared" si="1"/>
        <v>3.09</v>
      </c>
      <c r="Q24" s="611">
        <f t="shared" si="1"/>
        <v>2.7350000000000003</v>
      </c>
      <c r="R24" s="644">
        <f t="shared" si="1"/>
        <v>3.3074999999999997</v>
      </c>
      <c r="S24" s="610">
        <f t="shared" si="1"/>
        <v>3.0625</v>
      </c>
      <c r="T24" s="611">
        <f t="shared" si="1"/>
        <v>2.9675000000000002</v>
      </c>
      <c r="U24" s="644">
        <f t="shared" si="1"/>
        <v>3.8624999999999998</v>
      </c>
      <c r="V24" s="610">
        <f t="shared" si="1"/>
        <v>3.4875000000000003</v>
      </c>
      <c r="W24" s="611">
        <f t="shared" si="1"/>
        <v>3.2949999999999999</v>
      </c>
      <c r="Y24" s="681"/>
      <c r="Z24" s="681"/>
    </row>
    <row r="25" spans="2:26" ht="15" customHeight="1" thickBot="1" x14ac:dyDescent="0.3">
      <c r="B25" s="9"/>
      <c r="C25" s="61"/>
      <c r="D25" s="61"/>
      <c r="E25" s="61"/>
      <c r="F25" s="61"/>
      <c r="G25" s="61"/>
      <c r="H25" s="61"/>
      <c r="I25" s="61"/>
      <c r="J25" s="61"/>
      <c r="K25" s="61"/>
      <c r="N25" s="9"/>
      <c r="O25" s="61"/>
      <c r="P25" s="61"/>
      <c r="Q25" s="61"/>
      <c r="R25" s="61"/>
      <c r="S25" s="61"/>
      <c r="T25" s="61"/>
      <c r="U25" s="61"/>
      <c r="V25" s="61"/>
      <c r="W25" s="61"/>
      <c r="Y25" s="681"/>
      <c r="Z25" s="681"/>
    </row>
    <row r="26" spans="2:26" ht="15" customHeight="1" x14ac:dyDescent="0.25">
      <c r="B26" s="930" t="s">
        <v>100</v>
      </c>
      <c r="C26" s="916" t="s">
        <v>47</v>
      </c>
      <c r="D26" s="918"/>
      <c r="E26" s="917"/>
      <c r="F26" s="916" t="s">
        <v>43</v>
      </c>
      <c r="G26" s="918"/>
      <c r="H26" s="917"/>
      <c r="I26" s="916" t="s">
        <v>85</v>
      </c>
      <c r="J26" s="918"/>
      <c r="K26" s="917"/>
      <c r="N26" s="930" t="s">
        <v>100</v>
      </c>
      <c r="O26" s="916" t="s">
        <v>47</v>
      </c>
      <c r="P26" s="918"/>
      <c r="Q26" s="917"/>
      <c r="R26" s="916" t="s">
        <v>43</v>
      </c>
      <c r="S26" s="918"/>
      <c r="T26" s="917"/>
      <c r="U26" s="916" t="s">
        <v>85</v>
      </c>
      <c r="V26" s="918"/>
      <c r="W26" s="917"/>
    </row>
    <row r="27" spans="2:26" ht="15" customHeight="1" x14ac:dyDescent="0.25">
      <c r="B27" s="975"/>
      <c r="C27" s="964" t="s">
        <v>273</v>
      </c>
      <c r="D27" s="967" t="s">
        <v>274</v>
      </c>
      <c r="E27" s="970" t="s">
        <v>34</v>
      </c>
      <c r="F27" s="964" t="s">
        <v>273</v>
      </c>
      <c r="G27" s="967" t="s">
        <v>274</v>
      </c>
      <c r="H27" s="970" t="s">
        <v>34</v>
      </c>
      <c r="I27" s="964" t="s">
        <v>164</v>
      </c>
      <c r="J27" s="967" t="s">
        <v>165</v>
      </c>
      <c r="K27" s="970" t="s">
        <v>34</v>
      </c>
      <c r="N27" s="975"/>
      <c r="O27" s="964" t="s">
        <v>273</v>
      </c>
      <c r="P27" s="967" t="s">
        <v>274</v>
      </c>
      <c r="Q27" s="970" t="s">
        <v>34</v>
      </c>
      <c r="R27" s="964" t="s">
        <v>273</v>
      </c>
      <c r="S27" s="967" t="s">
        <v>274</v>
      </c>
      <c r="T27" s="970" t="s">
        <v>34</v>
      </c>
      <c r="U27" s="964" t="s">
        <v>164</v>
      </c>
      <c r="V27" s="967" t="s">
        <v>165</v>
      </c>
      <c r="W27" s="970" t="s">
        <v>34</v>
      </c>
    </row>
    <row r="28" spans="2:26" ht="15" customHeight="1" x14ac:dyDescent="0.25">
      <c r="B28" s="976"/>
      <c r="C28" s="965"/>
      <c r="D28" s="968"/>
      <c r="E28" s="971"/>
      <c r="F28" s="965"/>
      <c r="G28" s="968"/>
      <c r="H28" s="971"/>
      <c r="I28" s="965"/>
      <c r="J28" s="968"/>
      <c r="K28" s="973"/>
      <c r="N28" s="976"/>
      <c r="O28" s="965"/>
      <c r="P28" s="968"/>
      <c r="Q28" s="971"/>
      <c r="R28" s="965"/>
      <c r="S28" s="968"/>
      <c r="T28" s="971"/>
      <c r="U28" s="965"/>
      <c r="V28" s="968"/>
      <c r="W28" s="973"/>
    </row>
    <row r="29" spans="2:26" ht="15" customHeight="1" thickBot="1" x14ac:dyDescent="0.3">
      <c r="B29" s="977"/>
      <c r="C29" s="966"/>
      <c r="D29" s="969"/>
      <c r="E29" s="972"/>
      <c r="F29" s="966"/>
      <c r="G29" s="969"/>
      <c r="H29" s="972"/>
      <c r="I29" s="966"/>
      <c r="J29" s="969"/>
      <c r="K29" s="974"/>
      <c r="N29" s="977"/>
      <c r="O29" s="966"/>
      <c r="P29" s="969"/>
      <c r="Q29" s="972"/>
      <c r="R29" s="966"/>
      <c r="S29" s="969"/>
      <c r="T29" s="972"/>
      <c r="U29" s="966"/>
      <c r="V29" s="969"/>
      <c r="W29" s="974"/>
    </row>
    <row r="30" spans="2:26" ht="15" customHeight="1" x14ac:dyDescent="0.3">
      <c r="B30" s="606"/>
      <c r="C30" s="645"/>
      <c r="D30" s="630"/>
      <c r="E30" s="634"/>
      <c r="F30" s="632"/>
      <c r="G30" s="633"/>
      <c r="H30" s="634"/>
      <c r="I30" s="495"/>
      <c r="J30" s="724"/>
      <c r="K30" s="211"/>
      <c r="N30" s="606"/>
      <c r="O30" s="645"/>
      <c r="P30" s="630"/>
      <c r="Q30" s="634"/>
      <c r="R30" s="632"/>
      <c r="S30" s="633"/>
      <c r="T30" s="634"/>
      <c r="U30" s="495"/>
      <c r="V30" s="724"/>
      <c r="W30" s="211"/>
    </row>
    <row r="31" spans="2:26" ht="15" customHeight="1" x14ac:dyDescent="0.3">
      <c r="B31" s="570"/>
      <c r="C31" s="646"/>
      <c r="D31" s="618"/>
      <c r="E31" s="614"/>
      <c r="F31" s="637"/>
      <c r="G31" s="638"/>
      <c r="H31" s="614"/>
      <c r="I31" s="495"/>
      <c r="J31" s="495"/>
      <c r="K31" s="211"/>
      <c r="N31" s="570"/>
      <c r="O31" s="646"/>
      <c r="P31" s="618"/>
      <c r="Q31" s="614"/>
      <c r="R31" s="637"/>
      <c r="S31" s="638"/>
      <c r="T31" s="614"/>
      <c r="U31" s="495"/>
      <c r="V31" s="495"/>
      <c r="W31" s="211"/>
    </row>
    <row r="32" spans="2:26" ht="15" customHeight="1" x14ac:dyDescent="0.3">
      <c r="B32" s="570" t="s">
        <v>297</v>
      </c>
      <c r="C32" s="646">
        <v>3.6</v>
      </c>
      <c r="D32" s="618">
        <v>3.43</v>
      </c>
      <c r="E32" s="614">
        <v>3.12</v>
      </c>
      <c r="F32" s="637">
        <v>4.13</v>
      </c>
      <c r="G32" s="638">
        <v>4</v>
      </c>
      <c r="H32" s="614">
        <v>3.53</v>
      </c>
      <c r="I32" s="495">
        <v>2.89</v>
      </c>
      <c r="J32" s="495">
        <v>2.74</v>
      </c>
      <c r="K32" s="211">
        <v>2.5109820000000003</v>
      </c>
      <c r="N32" s="570" t="s">
        <v>297</v>
      </c>
      <c r="O32" s="646">
        <v>3.59</v>
      </c>
      <c r="P32" s="618">
        <v>3.43</v>
      </c>
      <c r="Q32" s="614">
        <v>3.29</v>
      </c>
      <c r="R32" s="638">
        <v>3.67</v>
      </c>
      <c r="S32" s="638">
        <v>3.58</v>
      </c>
      <c r="T32" s="614">
        <v>3.31</v>
      </c>
      <c r="U32" s="813">
        <v>2.7381059999999997</v>
      </c>
      <c r="V32" s="495">
        <v>2.6633333333333336</v>
      </c>
      <c r="W32" s="211">
        <v>2.6633333333333331</v>
      </c>
      <c r="Z32" s="681"/>
    </row>
    <row r="33" spans="2:83" ht="15" customHeight="1" x14ac:dyDescent="0.3">
      <c r="B33" s="570"/>
      <c r="C33" s="646"/>
      <c r="D33" s="618"/>
      <c r="E33" s="614"/>
      <c r="F33" s="637"/>
      <c r="G33" s="638"/>
      <c r="H33" s="614"/>
      <c r="I33" s="495"/>
      <c r="J33" s="495"/>
      <c r="K33" s="211"/>
      <c r="N33" s="570"/>
      <c r="O33" s="646"/>
      <c r="P33" s="618"/>
      <c r="Q33" s="614"/>
      <c r="R33" s="638"/>
      <c r="S33" s="638"/>
      <c r="T33" s="614"/>
      <c r="U33" s="813"/>
      <c r="V33" s="495"/>
      <c r="W33" s="211"/>
    </row>
    <row r="34" spans="2:83" ht="15" customHeight="1" x14ac:dyDescent="0.3">
      <c r="B34" s="570"/>
      <c r="C34" s="646"/>
      <c r="D34" s="618"/>
      <c r="E34" s="614"/>
      <c r="F34" s="637"/>
      <c r="G34" s="638"/>
      <c r="H34" s="614"/>
      <c r="I34" s="495"/>
      <c r="J34" s="495"/>
      <c r="K34" s="211"/>
      <c r="N34" s="570"/>
      <c r="O34" s="646"/>
      <c r="P34" s="618"/>
      <c r="Q34" s="614"/>
      <c r="R34" s="638"/>
      <c r="S34" s="638"/>
      <c r="T34" s="614"/>
      <c r="U34" s="813"/>
      <c r="V34" s="495"/>
      <c r="W34" s="211"/>
    </row>
    <row r="35" spans="2:83" ht="15" customHeight="1" x14ac:dyDescent="0.3">
      <c r="B35" s="570" t="s">
        <v>298</v>
      </c>
      <c r="C35" s="646">
        <v>2.93</v>
      </c>
      <c r="D35" s="618">
        <v>2.85</v>
      </c>
      <c r="E35" s="614">
        <v>2.4500000000000002</v>
      </c>
      <c r="F35" s="637">
        <v>3.81</v>
      </c>
      <c r="G35" s="638">
        <v>3.65</v>
      </c>
      <c r="H35" s="614">
        <v>2.65</v>
      </c>
      <c r="I35" s="495">
        <v>2.0099999999999998</v>
      </c>
      <c r="J35" s="495">
        <v>1.94</v>
      </c>
      <c r="K35" s="211">
        <v>1.6781940000000002</v>
      </c>
      <c r="N35" s="570" t="s">
        <v>298</v>
      </c>
      <c r="O35" s="646">
        <v>3.96</v>
      </c>
      <c r="P35" s="618">
        <v>3.84</v>
      </c>
      <c r="Q35" s="614">
        <v>3.38</v>
      </c>
      <c r="R35" s="638">
        <v>4.21</v>
      </c>
      <c r="S35" s="638">
        <v>4.09</v>
      </c>
      <c r="T35" s="614">
        <v>3.55</v>
      </c>
      <c r="U35" s="813">
        <v>3.32</v>
      </c>
      <c r="V35" s="495">
        <v>3.23</v>
      </c>
      <c r="W35" s="211">
        <v>2.8800000000000003</v>
      </c>
      <c r="Y35" s="681"/>
      <c r="Z35" s="681"/>
    </row>
    <row r="36" spans="2:83" ht="15" customHeight="1" x14ac:dyDescent="0.25">
      <c r="B36" s="570"/>
      <c r="C36" s="646"/>
      <c r="D36" s="618"/>
      <c r="E36" s="614"/>
      <c r="F36" s="637"/>
      <c r="G36" s="638"/>
      <c r="H36" s="614"/>
      <c r="I36" s="496"/>
      <c r="J36" s="496"/>
      <c r="K36" s="211"/>
      <c r="N36" s="570"/>
      <c r="O36" s="646"/>
      <c r="P36" s="618"/>
      <c r="Q36" s="614"/>
      <c r="R36" s="638"/>
      <c r="S36" s="638"/>
      <c r="T36" s="614"/>
      <c r="U36" s="814"/>
      <c r="V36" s="496"/>
      <c r="W36" s="211"/>
    </row>
    <row r="37" spans="2:83" ht="15" customHeight="1" x14ac:dyDescent="0.25">
      <c r="B37" s="570"/>
      <c r="C37" s="646"/>
      <c r="D37" s="618"/>
      <c r="E37" s="614"/>
      <c r="F37" s="637"/>
      <c r="G37" s="638"/>
      <c r="H37" s="614"/>
      <c r="I37" s="496"/>
      <c r="J37" s="496"/>
      <c r="K37" s="211"/>
      <c r="N37" s="570"/>
      <c r="O37" s="646"/>
      <c r="P37" s="618"/>
      <c r="Q37" s="614"/>
      <c r="R37" s="638"/>
      <c r="S37" s="638"/>
      <c r="T37" s="614"/>
      <c r="U37" s="814"/>
      <c r="V37" s="496"/>
      <c r="W37" s="211"/>
    </row>
    <row r="38" spans="2:83" ht="15" customHeight="1" x14ac:dyDescent="0.25">
      <c r="B38" s="570" t="s">
        <v>299</v>
      </c>
      <c r="C38" s="646">
        <v>3.26</v>
      </c>
      <c r="D38" s="618">
        <v>3.19</v>
      </c>
      <c r="E38" s="614">
        <v>2.7</v>
      </c>
      <c r="F38" s="637">
        <v>3.71</v>
      </c>
      <c r="G38" s="638">
        <v>3.55</v>
      </c>
      <c r="H38" s="614">
        <v>2.89</v>
      </c>
      <c r="I38" s="496">
        <v>2.44</v>
      </c>
      <c r="J38" s="496">
        <v>2.4226560000000004</v>
      </c>
      <c r="K38" s="211">
        <v>1.9936440000000004</v>
      </c>
      <c r="N38" s="570" t="s">
        <v>299</v>
      </c>
      <c r="O38" s="646">
        <v>3.83</v>
      </c>
      <c r="P38" s="618">
        <v>3.69</v>
      </c>
      <c r="Q38" s="614">
        <v>3.32</v>
      </c>
      <c r="R38" s="638">
        <v>4.3099999999999996</v>
      </c>
      <c r="S38" s="638">
        <v>4.16</v>
      </c>
      <c r="T38" s="614">
        <v>3.49</v>
      </c>
      <c r="U38" s="814">
        <v>3.1</v>
      </c>
      <c r="V38" s="496">
        <v>2.96</v>
      </c>
      <c r="W38" s="211">
        <v>2.813333333333333</v>
      </c>
    </row>
    <row r="39" spans="2:83" ht="15" customHeight="1" x14ac:dyDescent="0.25">
      <c r="B39" s="570"/>
      <c r="C39" s="646"/>
      <c r="D39" s="618"/>
      <c r="E39" s="614"/>
      <c r="F39" s="637"/>
      <c r="G39" s="638"/>
      <c r="H39" s="614"/>
      <c r="I39" s="496"/>
      <c r="J39" s="496"/>
      <c r="K39" s="211"/>
      <c r="N39" s="570"/>
      <c r="O39" s="646"/>
      <c r="P39" s="618"/>
      <c r="Q39" s="614"/>
      <c r="R39" s="638"/>
      <c r="S39" s="638"/>
      <c r="T39" s="614"/>
      <c r="U39" s="814"/>
      <c r="V39" s="496"/>
      <c r="W39" s="211"/>
    </row>
    <row r="40" spans="2:83" ht="15" customHeight="1" x14ac:dyDescent="0.25">
      <c r="B40" s="570"/>
      <c r="C40" s="646"/>
      <c r="D40" s="618"/>
      <c r="E40" s="614"/>
      <c r="F40" s="637"/>
      <c r="G40" s="638"/>
      <c r="H40" s="614"/>
      <c r="I40" s="496"/>
      <c r="J40" s="496"/>
      <c r="K40" s="211"/>
      <c r="N40" s="570"/>
      <c r="O40" s="646"/>
      <c r="P40" s="618"/>
      <c r="Q40" s="614"/>
      <c r="R40" s="638"/>
      <c r="S40" s="638"/>
      <c r="T40" s="614"/>
      <c r="U40" s="814"/>
      <c r="V40" s="496"/>
      <c r="W40" s="211"/>
    </row>
    <row r="41" spans="2:83" ht="15" customHeight="1" thickBot="1" x14ac:dyDescent="0.3">
      <c r="B41" s="604" t="s">
        <v>300</v>
      </c>
      <c r="C41" s="647">
        <v>3.25</v>
      </c>
      <c r="D41" s="640">
        <v>3.18</v>
      </c>
      <c r="E41" s="641">
        <v>2.78</v>
      </c>
      <c r="F41" s="642">
        <v>3.59</v>
      </c>
      <c r="G41" s="643">
        <v>3.43</v>
      </c>
      <c r="H41" s="641">
        <v>2.85</v>
      </c>
      <c r="I41" s="496">
        <v>2.41</v>
      </c>
      <c r="J41" s="745">
        <v>2.35</v>
      </c>
      <c r="K41" s="211">
        <v>2.0188799999999998</v>
      </c>
      <c r="N41" s="604" t="s">
        <v>300</v>
      </c>
      <c r="O41" s="647">
        <v>3.73</v>
      </c>
      <c r="P41" s="640">
        <v>3.55</v>
      </c>
      <c r="Q41" s="641">
        <v>3.33</v>
      </c>
      <c r="R41" s="643">
        <v>4.1100000000000003</v>
      </c>
      <c r="S41" s="643">
        <v>3.99</v>
      </c>
      <c r="T41" s="815">
        <v>3.55</v>
      </c>
      <c r="U41" s="814">
        <v>2.99</v>
      </c>
      <c r="V41" s="745">
        <v>2.84</v>
      </c>
      <c r="W41" s="211">
        <v>2.7166666666666668</v>
      </c>
    </row>
    <row r="42" spans="2:83" ht="15" customHeight="1" thickBot="1" x14ac:dyDescent="0.3">
      <c r="B42" s="597" t="s">
        <v>147</v>
      </c>
      <c r="C42" s="644">
        <f t="shared" ref="C42:K42" si="2">AVERAGE(C30:C41)</f>
        <v>3.26</v>
      </c>
      <c r="D42" s="610">
        <f t="shared" si="2"/>
        <v>3.1625000000000001</v>
      </c>
      <c r="E42" s="611">
        <f t="shared" si="2"/>
        <v>2.7624999999999997</v>
      </c>
      <c r="F42" s="644">
        <f t="shared" si="2"/>
        <v>3.8099999999999996</v>
      </c>
      <c r="G42" s="610">
        <f t="shared" si="2"/>
        <v>3.6574999999999998</v>
      </c>
      <c r="H42" s="611">
        <f t="shared" si="2"/>
        <v>2.98</v>
      </c>
      <c r="I42" s="644">
        <f t="shared" si="2"/>
        <v>2.4375</v>
      </c>
      <c r="J42" s="610">
        <f t="shared" si="2"/>
        <v>2.3631639999999998</v>
      </c>
      <c r="K42" s="611">
        <f t="shared" si="2"/>
        <v>2.0504250000000002</v>
      </c>
      <c r="N42" s="597" t="s">
        <v>147</v>
      </c>
      <c r="O42" s="644">
        <f t="shared" ref="O42:W42" si="3">AVERAGE(O30:O41)</f>
        <v>3.7774999999999999</v>
      </c>
      <c r="P42" s="610">
        <f t="shared" si="3"/>
        <v>3.6274999999999995</v>
      </c>
      <c r="Q42" s="611">
        <f t="shared" si="3"/>
        <v>3.33</v>
      </c>
      <c r="R42" s="644">
        <f t="shared" si="3"/>
        <v>4.0750000000000002</v>
      </c>
      <c r="S42" s="610">
        <f t="shared" si="3"/>
        <v>3.9550000000000001</v>
      </c>
      <c r="T42" s="611">
        <f t="shared" si="3"/>
        <v>3.4749999999999996</v>
      </c>
      <c r="U42" s="644">
        <f t="shared" si="3"/>
        <v>3.0370265000000001</v>
      </c>
      <c r="V42" s="610">
        <f t="shared" si="3"/>
        <v>2.9233333333333333</v>
      </c>
      <c r="W42" s="611">
        <f t="shared" si="3"/>
        <v>2.7683333333333331</v>
      </c>
    </row>
    <row r="43" spans="2:83" ht="15" customHeight="1" x14ac:dyDescent="0.25">
      <c r="B43"/>
      <c r="C43"/>
      <c r="D43"/>
      <c r="E43"/>
      <c r="F43"/>
      <c r="G43"/>
      <c r="H43"/>
      <c r="I43"/>
      <c r="J43"/>
      <c r="K43"/>
      <c r="N43"/>
      <c r="O43"/>
      <c r="P43"/>
      <c r="Q43"/>
      <c r="R43"/>
      <c r="S43"/>
      <c r="T43"/>
      <c r="U43"/>
      <c r="V43"/>
      <c r="W43"/>
    </row>
    <row r="44" spans="2:83" ht="15" customHeight="1" x14ac:dyDescent="0.25">
      <c r="B44" s="212" t="s">
        <v>290</v>
      </c>
      <c r="C44" s="14"/>
      <c r="D44" s="14"/>
      <c r="E44" s="14"/>
      <c r="F44" s="14"/>
      <c r="G44" s="14"/>
      <c r="H44" s="14"/>
      <c r="I44" s="14"/>
      <c r="J44" s="14"/>
      <c r="K44" s="14"/>
      <c r="N44" s="212" t="s">
        <v>290</v>
      </c>
      <c r="O44" s="14"/>
      <c r="P44" s="14"/>
      <c r="Q44" s="14"/>
      <c r="R44" s="14"/>
      <c r="S44" s="14"/>
      <c r="T44" s="14"/>
      <c r="U44" s="14"/>
      <c r="V44" s="14"/>
      <c r="W44" s="14"/>
    </row>
    <row r="45" spans="2:83" ht="15" customHeight="1" x14ac:dyDescent="0.25">
      <c r="B45" s="963" t="s">
        <v>229</v>
      </c>
      <c r="C45" s="963"/>
      <c r="D45" s="963"/>
      <c r="E45" s="963"/>
      <c r="F45" s="963"/>
      <c r="G45" s="963"/>
      <c r="H45" s="963"/>
      <c r="I45" s="963"/>
      <c r="J45" s="963"/>
      <c r="K45" s="963"/>
      <c r="N45" s="963" t="s">
        <v>229</v>
      </c>
      <c r="O45" s="963"/>
      <c r="P45" s="963"/>
      <c r="Q45" s="963"/>
      <c r="R45" s="963"/>
      <c r="S45" s="963"/>
      <c r="T45" s="963"/>
      <c r="U45" s="963"/>
      <c r="V45" s="963"/>
      <c r="W45" s="963"/>
    </row>
    <row r="46" spans="2:83" ht="15" customHeight="1" x14ac:dyDescent="0.25">
      <c r="B46" s="963" t="s">
        <v>230</v>
      </c>
      <c r="C46" s="963"/>
      <c r="D46" s="963"/>
      <c r="E46" s="963"/>
      <c r="F46" s="963"/>
      <c r="G46" s="963"/>
      <c r="H46" s="963"/>
      <c r="I46" s="963"/>
      <c r="J46" s="963"/>
      <c r="K46" s="963"/>
      <c r="N46" s="963" t="s">
        <v>230</v>
      </c>
      <c r="O46" s="963"/>
      <c r="P46" s="963"/>
      <c r="Q46" s="963"/>
      <c r="R46" s="963"/>
      <c r="S46" s="963"/>
      <c r="T46" s="963"/>
      <c r="U46" s="963"/>
      <c r="V46" s="963"/>
      <c r="W46" s="963"/>
    </row>
    <row r="47" spans="2:83" ht="15" customHeight="1" x14ac:dyDescent="0.25">
      <c r="B47" s="864" t="s">
        <v>207</v>
      </c>
      <c r="C47" s="864"/>
      <c r="D47" s="864"/>
      <c r="E47" s="864"/>
      <c r="F47" s="864"/>
      <c r="G47" s="864"/>
      <c r="H47" s="864"/>
      <c r="I47" s="864"/>
      <c r="J47" s="864"/>
      <c r="K47" s="864"/>
      <c r="N47" s="864" t="s">
        <v>207</v>
      </c>
      <c r="O47" s="864"/>
      <c r="P47" s="864"/>
      <c r="Q47" s="864"/>
      <c r="R47" s="864"/>
      <c r="S47" s="864"/>
      <c r="T47" s="864"/>
      <c r="U47" s="864"/>
      <c r="V47" s="864"/>
      <c r="W47" s="864"/>
      <c r="Z47" s="864" t="s">
        <v>207</v>
      </c>
      <c r="AA47" s="864"/>
      <c r="AB47" s="864"/>
      <c r="AC47" s="864"/>
      <c r="AD47" s="864"/>
      <c r="AE47" s="864"/>
      <c r="AF47" s="864"/>
      <c r="AG47" s="864"/>
      <c r="AH47" s="864"/>
      <c r="AI47" s="864"/>
      <c r="AL47" s="864" t="s">
        <v>207</v>
      </c>
      <c r="AM47" s="864"/>
      <c r="AN47" s="864"/>
      <c r="AO47" s="864"/>
      <c r="AP47" s="864"/>
      <c r="AQ47" s="864"/>
      <c r="AR47" s="864"/>
      <c r="AS47" s="864"/>
      <c r="AT47" s="864"/>
      <c r="AU47" s="864"/>
      <c r="AX47" s="864" t="s">
        <v>207</v>
      </c>
      <c r="AY47" s="864"/>
      <c r="AZ47" s="864"/>
      <c r="BA47" s="864"/>
      <c r="BB47" s="864"/>
      <c r="BC47" s="864"/>
      <c r="BD47" s="864"/>
      <c r="BE47" s="864"/>
      <c r="BF47" s="864"/>
      <c r="BG47" s="864"/>
      <c r="BJ47" s="864" t="s">
        <v>207</v>
      </c>
      <c r="BK47" s="864"/>
      <c r="BL47" s="864"/>
      <c r="BM47" s="864"/>
      <c r="BN47" s="864"/>
      <c r="BO47" s="864"/>
      <c r="BP47" s="864"/>
      <c r="BQ47" s="864"/>
      <c r="BR47" s="864"/>
      <c r="BS47" s="864"/>
      <c r="BV47" s="864" t="s">
        <v>207</v>
      </c>
      <c r="BW47" s="864"/>
      <c r="BX47" s="864"/>
      <c r="BY47" s="864"/>
      <c r="BZ47" s="864"/>
      <c r="CA47" s="864"/>
      <c r="CB47" s="864"/>
      <c r="CC47" s="864"/>
      <c r="CD47" s="864"/>
      <c r="CE47" s="864"/>
    </row>
    <row r="48" spans="2:83" ht="15" customHeight="1" x14ac:dyDescent="0.25">
      <c r="B48" s="864" t="s">
        <v>41</v>
      </c>
      <c r="C48" s="864"/>
      <c r="D48" s="864"/>
      <c r="E48" s="864"/>
      <c r="F48" s="864"/>
      <c r="G48" s="864"/>
      <c r="H48" s="864"/>
      <c r="I48" s="864"/>
      <c r="J48" s="864"/>
      <c r="K48" s="864"/>
      <c r="N48" s="864" t="s">
        <v>41</v>
      </c>
      <c r="O48" s="864"/>
      <c r="P48" s="864"/>
      <c r="Q48" s="864"/>
      <c r="R48" s="864"/>
      <c r="S48" s="864"/>
      <c r="T48" s="864"/>
      <c r="U48" s="864"/>
      <c r="V48" s="864"/>
      <c r="W48" s="864"/>
      <c r="Z48" s="864" t="s">
        <v>41</v>
      </c>
      <c r="AA48" s="864"/>
      <c r="AB48" s="864"/>
      <c r="AC48" s="864"/>
      <c r="AD48" s="864"/>
      <c r="AE48" s="864"/>
      <c r="AF48" s="864"/>
      <c r="AG48" s="864"/>
      <c r="AH48" s="864"/>
      <c r="AI48" s="864"/>
      <c r="AL48" s="864" t="s">
        <v>41</v>
      </c>
      <c r="AM48" s="864"/>
      <c r="AN48" s="864"/>
      <c r="AO48" s="864"/>
      <c r="AP48" s="864"/>
      <c r="AQ48" s="864"/>
      <c r="AR48" s="864"/>
      <c r="AS48" s="864"/>
      <c r="AT48" s="864"/>
      <c r="AU48" s="864"/>
      <c r="AX48" s="864" t="s">
        <v>41</v>
      </c>
      <c r="AY48" s="864"/>
      <c r="AZ48" s="864"/>
      <c r="BA48" s="864"/>
      <c r="BB48" s="864"/>
      <c r="BC48" s="864"/>
      <c r="BD48" s="864"/>
      <c r="BE48" s="864"/>
      <c r="BF48" s="864"/>
      <c r="BG48" s="864"/>
      <c r="BJ48" s="864" t="s">
        <v>41</v>
      </c>
      <c r="BK48" s="864"/>
      <c r="BL48" s="864"/>
      <c r="BM48" s="864"/>
      <c r="BN48" s="864"/>
      <c r="BO48" s="864"/>
      <c r="BP48" s="864"/>
      <c r="BQ48" s="864"/>
      <c r="BR48" s="864"/>
      <c r="BS48" s="864"/>
      <c r="BV48" s="864" t="s">
        <v>41</v>
      </c>
      <c r="BW48" s="864"/>
      <c r="BX48" s="864"/>
      <c r="BY48" s="864"/>
      <c r="BZ48" s="864"/>
      <c r="CA48" s="864"/>
      <c r="CB48" s="864"/>
      <c r="CC48" s="864"/>
      <c r="CD48" s="864"/>
      <c r="CE48" s="864"/>
    </row>
    <row r="49" spans="2:83" ht="15" customHeight="1" x14ac:dyDescent="0.25">
      <c r="B49" s="864" t="s">
        <v>42</v>
      </c>
      <c r="C49" s="864"/>
      <c r="D49" s="864"/>
      <c r="E49" s="864"/>
      <c r="F49" s="864"/>
      <c r="G49" s="864"/>
      <c r="H49" s="864"/>
      <c r="I49" s="864"/>
      <c r="J49" s="864"/>
      <c r="K49" s="864"/>
      <c r="N49" s="864" t="s">
        <v>42</v>
      </c>
      <c r="O49" s="864"/>
      <c r="P49" s="864"/>
      <c r="Q49" s="864"/>
      <c r="R49" s="864"/>
      <c r="S49" s="864"/>
      <c r="T49" s="864"/>
      <c r="U49" s="864"/>
      <c r="V49" s="864"/>
      <c r="W49" s="864"/>
      <c r="Z49" s="864" t="s">
        <v>42</v>
      </c>
      <c r="AA49" s="864"/>
      <c r="AB49" s="864"/>
      <c r="AC49" s="864"/>
      <c r="AD49" s="864"/>
      <c r="AE49" s="864"/>
      <c r="AF49" s="864"/>
      <c r="AG49" s="864"/>
      <c r="AH49" s="864"/>
      <c r="AI49" s="864"/>
      <c r="AL49" s="864" t="s">
        <v>42</v>
      </c>
      <c r="AM49" s="864"/>
      <c r="AN49" s="864"/>
      <c r="AO49" s="864"/>
      <c r="AP49" s="864"/>
      <c r="AQ49" s="864"/>
      <c r="AR49" s="864"/>
      <c r="AS49" s="864"/>
      <c r="AT49" s="864"/>
      <c r="AU49" s="864"/>
      <c r="AX49" s="864" t="s">
        <v>42</v>
      </c>
      <c r="AY49" s="864"/>
      <c r="AZ49" s="864"/>
      <c r="BA49" s="864"/>
      <c r="BB49" s="864"/>
      <c r="BC49" s="864"/>
      <c r="BD49" s="864"/>
      <c r="BE49" s="864"/>
      <c r="BF49" s="864"/>
      <c r="BG49" s="864"/>
      <c r="BJ49" s="864" t="s">
        <v>42</v>
      </c>
      <c r="BK49" s="864"/>
      <c r="BL49" s="864"/>
      <c r="BM49" s="864"/>
      <c r="BN49" s="864"/>
      <c r="BO49" s="864"/>
      <c r="BP49" s="864"/>
      <c r="BQ49" s="864"/>
      <c r="BR49" s="864"/>
      <c r="BS49" s="864"/>
      <c r="BV49" s="864" t="s">
        <v>42</v>
      </c>
      <c r="BW49" s="864"/>
      <c r="BX49" s="864"/>
      <c r="BY49" s="864"/>
      <c r="BZ49" s="864"/>
      <c r="CA49" s="864"/>
      <c r="CB49" s="864"/>
      <c r="CC49" s="864"/>
      <c r="CD49" s="864"/>
      <c r="CE49" s="864"/>
    </row>
    <row r="50" spans="2:83" ht="15" customHeight="1" x14ac:dyDescent="0.25">
      <c r="B50" s="864">
        <v>2018</v>
      </c>
      <c r="C50" s="864"/>
      <c r="D50" s="864"/>
      <c r="E50" s="864"/>
      <c r="F50" s="864"/>
      <c r="G50" s="864"/>
      <c r="H50" s="864"/>
      <c r="I50" s="864"/>
      <c r="J50" s="864"/>
      <c r="K50" s="864"/>
      <c r="N50" s="864" t="s">
        <v>287</v>
      </c>
      <c r="O50" s="864"/>
      <c r="P50" s="864"/>
      <c r="Q50" s="864"/>
      <c r="R50" s="864"/>
      <c r="S50" s="864"/>
      <c r="T50" s="864"/>
      <c r="U50" s="864"/>
      <c r="V50" s="864"/>
      <c r="W50" s="864"/>
      <c r="Z50" s="864" t="s">
        <v>285</v>
      </c>
      <c r="AA50" s="864"/>
      <c r="AB50" s="864"/>
      <c r="AC50" s="864"/>
      <c r="AD50" s="864"/>
      <c r="AE50" s="864"/>
      <c r="AF50" s="864"/>
      <c r="AG50" s="864"/>
      <c r="AH50" s="864"/>
      <c r="AI50" s="864"/>
      <c r="AL50" s="864" t="s">
        <v>272</v>
      </c>
      <c r="AM50" s="864"/>
      <c r="AN50" s="864"/>
      <c r="AO50" s="864"/>
      <c r="AP50" s="864"/>
      <c r="AQ50" s="864"/>
      <c r="AR50" s="864"/>
      <c r="AS50" s="864"/>
      <c r="AT50" s="864"/>
      <c r="AU50" s="864"/>
      <c r="AX50" s="864" t="s">
        <v>255</v>
      </c>
      <c r="AY50" s="864"/>
      <c r="AZ50" s="864"/>
      <c r="BA50" s="864"/>
      <c r="BB50" s="864"/>
      <c r="BC50" s="864"/>
      <c r="BD50" s="864"/>
      <c r="BE50" s="864"/>
      <c r="BF50" s="864"/>
      <c r="BG50" s="864"/>
      <c r="BJ50" s="864" t="s">
        <v>288</v>
      </c>
      <c r="BK50" s="864"/>
      <c r="BL50" s="864"/>
      <c r="BM50" s="864"/>
      <c r="BN50" s="864"/>
      <c r="BO50" s="864"/>
      <c r="BP50" s="864"/>
      <c r="BQ50" s="864"/>
      <c r="BR50" s="864"/>
      <c r="BS50" s="864"/>
      <c r="BV50" s="864" t="s">
        <v>289</v>
      </c>
      <c r="BW50" s="864"/>
      <c r="BX50" s="864"/>
      <c r="BY50" s="864"/>
      <c r="BZ50" s="864"/>
      <c r="CA50" s="864"/>
      <c r="CB50" s="864"/>
      <c r="CC50" s="864"/>
      <c r="CD50" s="864"/>
      <c r="CE50" s="864"/>
    </row>
    <row r="51" spans="2:83" ht="15" customHeight="1" x14ac:dyDescent="0.25">
      <c r="B51" s="864" t="s">
        <v>7</v>
      </c>
      <c r="C51" s="864"/>
      <c r="D51" s="864"/>
      <c r="E51" s="864"/>
      <c r="F51" s="864"/>
      <c r="G51" s="864"/>
      <c r="H51" s="864"/>
      <c r="I51" s="864"/>
      <c r="J51" s="864"/>
      <c r="K51" s="864"/>
      <c r="N51" s="864" t="s">
        <v>7</v>
      </c>
      <c r="O51" s="864"/>
      <c r="P51" s="864"/>
      <c r="Q51" s="864"/>
      <c r="R51" s="864"/>
      <c r="S51" s="864"/>
      <c r="T51" s="864"/>
      <c r="U51" s="864"/>
      <c r="V51" s="864"/>
      <c r="W51" s="864"/>
      <c r="Z51" s="864" t="s">
        <v>7</v>
      </c>
      <c r="AA51" s="864"/>
      <c r="AB51" s="864"/>
      <c r="AC51" s="864"/>
      <c r="AD51" s="864"/>
      <c r="AE51" s="864"/>
      <c r="AF51" s="864"/>
      <c r="AG51" s="864"/>
      <c r="AH51" s="864"/>
      <c r="AI51" s="864"/>
      <c r="AL51" s="864" t="s">
        <v>7</v>
      </c>
      <c r="AM51" s="864"/>
      <c r="AN51" s="864"/>
      <c r="AO51" s="864"/>
      <c r="AP51" s="864"/>
      <c r="AQ51" s="864"/>
      <c r="AR51" s="864"/>
      <c r="AS51" s="864"/>
      <c r="AT51" s="864"/>
      <c r="AU51" s="864"/>
      <c r="AX51" s="864" t="s">
        <v>7</v>
      </c>
      <c r="AY51" s="864"/>
      <c r="AZ51" s="864"/>
      <c r="BA51" s="864"/>
      <c r="BB51" s="864"/>
      <c r="BC51" s="864"/>
      <c r="BD51" s="864"/>
      <c r="BE51" s="864"/>
      <c r="BF51" s="864"/>
      <c r="BG51" s="864"/>
      <c r="BJ51" s="864" t="s">
        <v>7</v>
      </c>
      <c r="BK51" s="864"/>
      <c r="BL51" s="864"/>
      <c r="BM51" s="864"/>
      <c r="BN51" s="864"/>
      <c r="BO51" s="864"/>
      <c r="BP51" s="864"/>
      <c r="BQ51" s="864"/>
      <c r="BR51" s="864"/>
      <c r="BS51" s="864"/>
      <c r="BV51" s="864" t="s">
        <v>7</v>
      </c>
      <c r="BW51" s="864"/>
      <c r="BX51" s="864"/>
      <c r="BY51" s="864"/>
      <c r="BZ51" s="864"/>
      <c r="CA51" s="864"/>
      <c r="CB51" s="864"/>
      <c r="CC51" s="864"/>
      <c r="CD51" s="864"/>
      <c r="CE51" s="864"/>
    </row>
    <row r="52" spans="2:83" ht="15" customHeight="1" thickBot="1" x14ac:dyDescent="0.3">
      <c r="B52" s="41"/>
      <c r="C52" s="41"/>
      <c r="D52" s="41"/>
      <c r="E52" s="41"/>
      <c r="F52" s="41"/>
      <c r="G52" s="41"/>
      <c r="H52" s="41"/>
      <c r="I52" s="41"/>
      <c r="J52" s="41"/>
      <c r="K52" s="41"/>
      <c r="Z52" s="773"/>
      <c r="AA52" s="773"/>
      <c r="AB52" s="773"/>
      <c r="AC52" s="773"/>
      <c r="AD52" s="773"/>
      <c r="AE52" s="773"/>
      <c r="AF52" s="773"/>
      <c r="AG52" s="773"/>
      <c r="AH52" s="773"/>
      <c r="AI52" s="773"/>
      <c r="AL52" s="773"/>
      <c r="AM52" s="773"/>
      <c r="AN52" s="773"/>
      <c r="AO52" s="773"/>
      <c r="AP52" s="773"/>
      <c r="AQ52" s="773"/>
      <c r="AR52" s="773"/>
      <c r="AS52" s="773"/>
      <c r="AT52" s="773"/>
      <c r="AU52" s="773"/>
      <c r="AX52" s="773"/>
      <c r="AY52" s="773"/>
      <c r="AZ52" s="773"/>
      <c r="BA52" s="773"/>
      <c r="BB52" s="773"/>
      <c r="BC52" s="773"/>
      <c r="BD52" s="773"/>
      <c r="BE52" s="773"/>
      <c r="BF52" s="773"/>
      <c r="BG52" s="773"/>
      <c r="BJ52" s="773"/>
      <c r="BK52" s="773"/>
      <c r="BL52" s="773"/>
      <c r="BM52" s="773"/>
      <c r="BN52" s="773"/>
      <c r="BO52" s="773"/>
      <c r="BP52" s="773"/>
      <c r="BQ52" s="773"/>
      <c r="BR52" s="773"/>
      <c r="BS52" s="773"/>
      <c r="BV52" s="47"/>
    </row>
    <row r="53" spans="2:83" ht="15" customHeight="1" thickBot="1" x14ac:dyDescent="0.3">
      <c r="B53" s="919" t="s">
        <v>269</v>
      </c>
      <c r="C53" s="920"/>
      <c r="D53" s="920"/>
      <c r="E53" s="920"/>
      <c r="F53" s="920"/>
      <c r="G53" s="920"/>
      <c r="H53" s="920"/>
      <c r="I53" s="920"/>
      <c r="J53" s="920"/>
      <c r="K53" s="921"/>
      <c r="N53" s="919" t="s">
        <v>269</v>
      </c>
      <c r="O53" s="920"/>
      <c r="P53" s="920"/>
      <c r="Q53" s="920"/>
      <c r="R53" s="920"/>
      <c r="S53" s="920"/>
      <c r="T53" s="920"/>
      <c r="U53" s="920"/>
      <c r="V53" s="920"/>
      <c r="W53" s="921"/>
      <c r="Z53" s="919" t="s">
        <v>269</v>
      </c>
      <c r="AA53" s="920"/>
      <c r="AB53" s="920"/>
      <c r="AC53" s="920"/>
      <c r="AD53" s="920"/>
      <c r="AE53" s="920"/>
      <c r="AF53" s="920"/>
      <c r="AG53" s="920"/>
      <c r="AH53" s="920"/>
      <c r="AI53" s="921"/>
      <c r="AL53" s="919" t="s">
        <v>269</v>
      </c>
      <c r="AM53" s="920"/>
      <c r="AN53" s="920"/>
      <c r="AO53" s="920"/>
      <c r="AP53" s="920"/>
      <c r="AQ53" s="920"/>
      <c r="AR53" s="920"/>
      <c r="AS53" s="920"/>
      <c r="AT53" s="920"/>
      <c r="AU53" s="921"/>
      <c r="AX53" s="919" t="s">
        <v>269</v>
      </c>
      <c r="AY53" s="920"/>
      <c r="AZ53" s="920"/>
      <c r="BA53" s="920"/>
      <c r="BB53" s="920"/>
      <c r="BC53" s="920"/>
      <c r="BD53" s="920"/>
      <c r="BE53" s="920"/>
      <c r="BF53" s="920"/>
      <c r="BG53" s="921"/>
      <c r="BJ53" s="919" t="s">
        <v>269</v>
      </c>
      <c r="BK53" s="920"/>
      <c r="BL53" s="920"/>
      <c r="BM53" s="920"/>
      <c r="BN53" s="920"/>
      <c r="BO53" s="920"/>
      <c r="BP53" s="920"/>
      <c r="BQ53" s="920"/>
      <c r="BR53" s="920"/>
      <c r="BS53" s="921"/>
      <c r="BV53" s="919" t="s">
        <v>269</v>
      </c>
      <c r="BW53" s="920"/>
      <c r="BX53" s="920"/>
      <c r="BY53" s="920"/>
      <c r="BZ53" s="920"/>
      <c r="CA53" s="920"/>
      <c r="CB53" s="920"/>
      <c r="CC53" s="920"/>
      <c r="CD53" s="920"/>
      <c r="CE53" s="921"/>
    </row>
    <row r="54" spans="2:83" ht="15" customHeight="1" x14ac:dyDescent="0.25">
      <c r="B54" s="975" t="s">
        <v>100</v>
      </c>
      <c r="C54" s="916" t="s">
        <v>46</v>
      </c>
      <c r="D54" s="918"/>
      <c r="E54" s="917"/>
      <c r="F54" s="978" t="s">
        <v>45</v>
      </c>
      <c r="G54" s="979"/>
      <c r="H54" s="980"/>
      <c r="I54" s="916" t="s">
        <v>44</v>
      </c>
      <c r="J54" s="918"/>
      <c r="K54" s="917"/>
      <c r="N54" s="975" t="s">
        <v>100</v>
      </c>
      <c r="O54" s="916" t="s">
        <v>46</v>
      </c>
      <c r="P54" s="918"/>
      <c r="Q54" s="917"/>
      <c r="R54" s="978" t="s">
        <v>45</v>
      </c>
      <c r="S54" s="979"/>
      <c r="T54" s="980"/>
      <c r="U54" s="916" t="s">
        <v>44</v>
      </c>
      <c r="V54" s="918"/>
      <c r="W54" s="917"/>
      <c r="Z54" s="975" t="s">
        <v>100</v>
      </c>
      <c r="AA54" s="916" t="s">
        <v>46</v>
      </c>
      <c r="AB54" s="918"/>
      <c r="AC54" s="917"/>
      <c r="AD54" s="978" t="s">
        <v>45</v>
      </c>
      <c r="AE54" s="979"/>
      <c r="AF54" s="980"/>
      <c r="AG54" s="916" t="s">
        <v>44</v>
      </c>
      <c r="AH54" s="918"/>
      <c r="AI54" s="917"/>
      <c r="AL54" s="975" t="s">
        <v>100</v>
      </c>
      <c r="AM54" s="916" t="s">
        <v>46</v>
      </c>
      <c r="AN54" s="918"/>
      <c r="AO54" s="917"/>
      <c r="AP54" s="978" t="s">
        <v>45</v>
      </c>
      <c r="AQ54" s="979"/>
      <c r="AR54" s="980"/>
      <c r="AS54" s="916" t="s">
        <v>44</v>
      </c>
      <c r="AT54" s="918"/>
      <c r="AU54" s="917"/>
      <c r="AX54" s="975" t="s">
        <v>100</v>
      </c>
      <c r="AY54" s="916" t="s">
        <v>46</v>
      </c>
      <c r="AZ54" s="918"/>
      <c r="BA54" s="917"/>
      <c r="BB54" s="978" t="s">
        <v>45</v>
      </c>
      <c r="BC54" s="979"/>
      <c r="BD54" s="980"/>
      <c r="BE54" s="916" t="s">
        <v>44</v>
      </c>
      <c r="BF54" s="918"/>
      <c r="BG54" s="917"/>
      <c r="BJ54" s="975" t="s">
        <v>100</v>
      </c>
      <c r="BK54" s="916" t="s">
        <v>46</v>
      </c>
      <c r="BL54" s="918"/>
      <c r="BM54" s="917"/>
      <c r="BN54" s="978" t="s">
        <v>45</v>
      </c>
      <c r="BO54" s="979"/>
      <c r="BP54" s="980"/>
      <c r="BQ54" s="916" t="s">
        <v>44</v>
      </c>
      <c r="BR54" s="918"/>
      <c r="BS54" s="917"/>
      <c r="BV54" s="975" t="s">
        <v>100</v>
      </c>
      <c r="BW54" s="916" t="s">
        <v>46</v>
      </c>
      <c r="BX54" s="918"/>
      <c r="BY54" s="917"/>
      <c r="BZ54" s="978" t="s">
        <v>45</v>
      </c>
      <c r="CA54" s="979"/>
      <c r="CB54" s="980"/>
      <c r="CC54" s="916" t="s">
        <v>44</v>
      </c>
      <c r="CD54" s="918"/>
      <c r="CE54" s="917"/>
    </row>
    <row r="55" spans="2:83" ht="15" customHeight="1" x14ac:dyDescent="0.25">
      <c r="B55" s="975"/>
      <c r="C55" s="964" t="s">
        <v>273</v>
      </c>
      <c r="D55" s="967" t="s">
        <v>274</v>
      </c>
      <c r="E55" s="970" t="s">
        <v>34</v>
      </c>
      <c r="F55" s="964" t="s">
        <v>273</v>
      </c>
      <c r="G55" s="967" t="s">
        <v>274</v>
      </c>
      <c r="H55" s="970" t="s">
        <v>34</v>
      </c>
      <c r="I55" s="964" t="s">
        <v>273</v>
      </c>
      <c r="J55" s="967" t="s">
        <v>274</v>
      </c>
      <c r="K55" s="970" t="s">
        <v>34</v>
      </c>
      <c r="N55" s="975"/>
      <c r="O55" s="964" t="s">
        <v>273</v>
      </c>
      <c r="P55" s="967" t="s">
        <v>274</v>
      </c>
      <c r="Q55" s="970" t="s">
        <v>34</v>
      </c>
      <c r="R55" s="964" t="s">
        <v>273</v>
      </c>
      <c r="S55" s="967" t="s">
        <v>274</v>
      </c>
      <c r="T55" s="970" t="s">
        <v>34</v>
      </c>
      <c r="U55" s="964" t="s">
        <v>273</v>
      </c>
      <c r="V55" s="967" t="s">
        <v>274</v>
      </c>
      <c r="W55" s="970" t="s">
        <v>34</v>
      </c>
      <c r="Z55" s="975"/>
      <c r="AA55" s="964" t="s">
        <v>273</v>
      </c>
      <c r="AB55" s="967" t="s">
        <v>274</v>
      </c>
      <c r="AC55" s="970" t="s">
        <v>34</v>
      </c>
      <c r="AD55" s="964" t="s">
        <v>273</v>
      </c>
      <c r="AE55" s="967" t="s">
        <v>274</v>
      </c>
      <c r="AF55" s="970" t="s">
        <v>34</v>
      </c>
      <c r="AG55" s="964" t="s">
        <v>273</v>
      </c>
      <c r="AH55" s="967" t="s">
        <v>274</v>
      </c>
      <c r="AI55" s="970" t="s">
        <v>34</v>
      </c>
      <c r="AL55" s="975"/>
      <c r="AM55" s="964" t="s">
        <v>273</v>
      </c>
      <c r="AN55" s="967" t="s">
        <v>274</v>
      </c>
      <c r="AO55" s="970" t="s">
        <v>34</v>
      </c>
      <c r="AP55" s="964" t="s">
        <v>273</v>
      </c>
      <c r="AQ55" s="967" t="s">
        <v>274</v>
      </c>
      <c r="AR55" s="970" t="s">
        <v>34</v>
      </c>
      <c r="AS55" s="964" t="s">
        <v>273</v>
      </c>
      <c r="AT55" s="967" t="s">
        <v>274</v>
      </c>
      <c r="AU55" s="970" t="s">
        <v>34</v>
      </c>
      <c r="AX55" s="975"/>
      <c r="AY55" s="964" t="s">
        <v>273</v>
      </c>
      <c r="AZ55" s="967" t="s">
        <v>274</v>
      </c>
      <c r="BA55" s="970" t="s">
        <v>34</v>
      </c>
      <c r="BB55" s="964" t="s">
        <v>273</v>
      </c>
      <c r="BC55" s="967" t="s">
        <v>274</v>
      </c>
      <c r="BD55" s="970" t="s">
        <v>34</v>
      </c>
      <c r="BE55" s="964" t="s">
        <v>273</v>
      </c>
      <c r="BF55" s="967" t="s">
        <v>274</v>
      </c>
      <c r="BG55" s="970" t="s">
        <v>34</v>
      </c>
      <c r="BJ55" s="975"/>
      <c r="BK55" s="964" t="s">
        <v>273</v>
      </c>
      <c r="BL55" s="967" t="s">
        <v>274</v>
      </c>
      <c r="BM55" s="970" t="s">
        <v>34</v>
      </c>
      <c r="BN55" s="964" t="s">
        <v>273</v>
      </c>
      <c r="BO55" s="967" t="s">
        <v>274</v>
      </c>
      <c r="BP55" s="970" t="s">
        <v>34</v>
      </c>
      <c r="BQ55" s="964" t="s">
        <v>273</v>
      </c>
      <c r="BR55" s="967" t="s">
        <v>274</v>
      </c>
      <c r="BS55" s="970" t="s">
        <v>34</v>
      </c>
      <c r="BV55" s="975"/>
      <c r="BW55" s="964" t="s">
        <v>273</v>
      </c>
      <c r="BX55" s="967" t="s">
        <v>274</v>
      </c>
      <c r="BY55" s="970" t="s">
        <v>34</v>
      </c>
      <c r="BZ55" s="964" t="s">
        <v>273</v>
      </c>
      <c r="CA55" s="967" t="s">
        <v>274</v>
      </c>
      <c r="CB55" s="970" t="s">
        <v>34</v>
      </c>
      <c r="CC55" s="964" t="s">
        <v>273</v>
      </c>
      <c r="CD55" s="967" t="s">
        <v>274</v>
      </c>
      <c r="CE55" s="970" t="s">
        <v>34</v>
      </c>
    </row>
    <row r="56" spans="2:83" ht="15" customHeight="1" x14ac:dyDescent="0.25">
      <c r="B56" s="976"/>
      <c r="C56" s="965"/>
      <c r="D56" s="968"/>
      <c r="E56" s="971"/>
      <c r="F56" s="965"/>
      <c r="G56" s="968"/>
      <c r="H56" s="971"/>
      <c r="I56" s="965"/>
      <c r="J56" s="968"/>
      <c r="K56" s="971"/>
      <c r="N56" s="976"/>
      <c r="O56" s="965"/>
      <c r="P56" s="968"/>
      <c r="Q56" s="971"/>
      <c r="R56" s="965"/>
      <c r="S56" s="968"/>
      <c r="T56" s="971"/>
      <c r="U56" s="965"/>
      <c r="V56" s="968"/>
      <c r="W56" s="971"/>
      <c r="Z56" s="976"/>
      <c r="AA56" s="965"/>
      <c r="AB56" s="968"/>
      <c r="AC56" s="971"/>
      <c r="AD56" s="965"/>
      <c r="AE56" s="968"/>
      <c r="AF56" s="971"/>
      <c r="AG56" s="965"/>
      <c r="AH56" s="968"/>
      <c r="AI56" s="971"/>
      <c r="AL56" s="976"/>
      <c r="AM56" s="965"/>
      <c r="AN56" s="968"/>
      <c r="AO56" s="971"/>
      <c r="AP56" s="965"/>
      <c r="AQ56" s="968"/>
      <c r="AR56" s="971"/>
      <c r="AS56" s="965"/>
      <c r="AT56" s="968"/>
      <c r="AU56" s="971"/>
      <c r="AX56" s="976"/>
      <c r="AY56" s="965"/>
      <c r="AZ56" s="968"/>
      <c r="BA56" s="971"/>
      <c r="BB56" s="965"/>
      <c r="BC56" s="968"/>
      <c r="BD56" s="971"/>
      <c r="BE56" s="965"/>
      <c r="BF56" s="968"/>
      <c r="BG56" s="971"/>
      <c r="BJ56" s="976"/>
      <c r="BK56" s="965"/>
      <c r="BL56" s="968"/>
      <c r="BM56" s="971"/>
      <c r="BN56" s="965"/>
      <c r="BO56" s="968"/>
      <c r="BP56" s="971"/>
      <c r="BQ56" s="965"/>
      <c r="BR56" s="968"/>
      <c r="BS56" s="971"/>
      <c r="BV56" s="976"/>
      <c r="BW56" s="965"/>
      <c r="BX56" s="968"/>
      <c r="BY56" s="971"/>
      <c r="BZ56" s="965"/>
      <c r="CA56" s="968"/>
      <c r="CB56" s="971"/>
      <c r="CC56" s="965"/>
      <c r="CD56" s="968"/>
      <c r="CE56" s="971"/>
    </row>
    <row r="57" spans="2:83" ht="15" customHeight="1" thickBot="1" x14ac:dyDescent="0.3">
      <c r="B57" s="977"/>
      <c r="C57" s="966"/>
      <c r="D57" s="969"/>
      <c r="E57" s="972"/>
      <c r="F57" s="966"/>
      <c r="G57" s="969"/>
      <c r="H57" s="972"/>
      <c r="I57" s="966"/>
      <c r="J57" s="969"/>
      <c r="K57" s="972"/>
      <c r="N57" s="977"/>
      <c r="O57" s="966"/>
      <c r="P57" s="969"/>
      <c r="Q57" s="972"/>
      <c r="R57" s="966"/>
      <c r="S57" s="969"/>
      <c r="T57" s="972"/>
      <c r="U57" s="966"/>
      <c r="V57" s="969"/>
      <c r="W57" s="972"/>
      <c r="Z57" s="977"/>
      <c r="AA57" s="966"/>
      <c r="AB57" s="969"/>
      <c r="AC57" s="972"/>
      <c r="AD57" s="966"/>
      <c r="AE57" s="969"/>
      <c r="AF57" s="972"/>
      <c r="AG57" s="966"/>
      <c r="AH57" s="969"/>
      <c r="AI57" s="972"/>
      <c r="AL57" s="977"/>
      <c r="AM57" s="966"/>
      <c r="AN57" s="969"/>
      <c r="AO57" s="972"/>
      <c r="AP57" s="966"/>
      <c r="AQ57" s="969"/>
      <c r="AR57" s="972"/>
      <c r="AS57" s="966"/>
      <c r="AT57" s="969"/>
      <c r="AU57" s="972"/>
      <c r="AX57" s="977"/>
      <c r="AY57" s="966"/>
      <c r="AZ57" s="969"/>
      <c r="BA57" s="972"/>
      <c r="BB57" s="966"/>
      <c r="BC57" s="969"/>
      <c r="BD57" s="972"/>
      <c r="BE57" s="966"/>
      <c r="BF57" s="969"/>
      <c r="BG57" s="972"/>
      <c r="BJ57" s="977"/>
      <c r="BK57" s="966"/>
      <c r="BL57" s="969"/>
      <c r="BM57" s="972"/>
      <c r="BN57" s="966"/>
      <c r="BO57" s="969"/>
      <c r="BP57" s="972"/>
      <c r="BQ57" s="966"/>
      <c r="BR57" s="969"/>
      <c r="BS57" s="972"/>
      <c r="BV57" s="977"/>
      <c r="BW57" s="966"/>
      <c r="BX57" s="969"/>
      <c r="BY57" s="972"/>
      <c r="BZ57" s="966"/>
      <c r="CA57" s="969"/>
      <c r="CB57" s="972"/>
      <c r="CC57" s="966"/>
      <c r="CD57" s="969"/>
      <c r="CE57" s="972"/>
    </row>
    <row r="58" spans="2:83" ht="15" customHeight="1" x14ac:dyDescent="0.25">
      <c r="B58" s="606" t="s">
        <v>86</v>
      </c>
      <c r="C58" s="629">
        <v>3.3692215266406538</v>
      </c>
      <c r="D58" s="630">
        <v>3.5458327553634601</v>
      </c>
      <c r="E58" s="631">
        <v>2.8123970355049654</v>
      </c>
      <c r="F58" s="632">
        <v>3.28</v>
      </c>
      <c r="G58" s="633">
        <v>3.105</v>
      </c>
      <c r="H58" s="634">
        <v>2.9675000000000002</v>
      </c>
      <c r="I58" s="635">
        <v>3.8785913039500843</v>
      </c>
      <c r="J58" s="630">
        <v>3.68</v>
      </c>
      <c r="K58" s="634">
        <v>3.2477914264269168</v>
      </c>
      <c r="N58" s="606" t="s">
        <v>86</v>
      </c>
      <c r="O58" s="629">
        <v>3.11</v>
      </c>
      <c r="P58" s="630">
        <v>2.9875675068913776</v>
      </c>
      <c r="Q58" s="631">
        <v>2.4514752873698522</v>
      </c>
      <c r="R58" s="632">
        <v>3.0775000000000001</v>
      </c>
      <c r="S58" s="633">
        <v>2.895</v>
      </c>
      <c r="T58" s="634">
        <v>2.4899999999999998</v>
      </c>
      <c r="U58" s="635">
        <v>3.7825678277305768</v>
      </c>
      <c r="V58" s="630">
        <v>2.895</v>
      </c>
      <c r="W58" s="634">
        <v>3.0338128599048861</v>
      </c>
      <c r="Z58" s="606" t="s">
        <v>86</v>
      </c>
      <c r="AA58" s="629">
        <v>2.5569832528165763</v>
      </c>
      <c r="AB58" s="630">
        <v>2.3640142963976976</v>
      </c>
      <c r="AC58" s="631">
        <v>1.7841214124022271</v>
      </c>
      <c r="AD58" s="632">
        <v>2.5582500000000001</v>
      </c>
      <c r="AE58" s="633">
        <v>2.3832499999999999</v>
      </c>
      <c r="AF58" s="634">
        <v>1.9770000000000001</v>
      </c>
      <c r="AG58" s="635">
        <v>3.3391005273012357</v>
      </c>
      <c r="AH58" s="630">
        <v>3.0760742603320184</v>
      </c>
      <c r="AI58" s="634">
        <v>2.4999617238612037</v>
      </c>
      <c r="AL58" s="606" t="s">
        <v>86</v>
      </c>
      <c r="AM58" s="629">
        <v>2.7392131556135602</v>
      </c>
      <c r="AN58" s="630">
        <v>2.5453797220440264</v>
      </c>
      <c r="AO58" s="631">
        <v>2.4696493312768566</v>
      </c>
      <c r="AP58" s="632">
        <v>2.7867499999999996</v>
      </c>
      <c r="AQ58" s="633">
        <v>2.5460000000000003</v>
      </c>
      <c r="AR58" s="634">
        <v>2.66825</v>
      </c>
      <c r="AS58" s="635">
        <v>3.5684769505566565</v>
      </c>
      <c r="AT58" s="630">
        <v>3.2636125658632356</v>
      </c>
      <c r="AU58" s="634">
        <v>3.1143605611951131</v>
      </c>
      <c r="AX58" s="606" t="s">
        <v>86</v>
      </c>
      <c r="AY58" s="629">
        <v>4.3075400385174847</v>
      </c>
      <c r="AZ58" s="630">
        <v>4.1176076961496078</v>
      </c>
      <c r="BA58" s="631">
        <v>3.9731678832073225</v>
      </c>
      <c r="BB58" s="632">
        <v>4.2560000000000002</v>
      </c>
      <c r="BC58" s="633">
        <v>3.9493333333333336</v>
      </c>
      <c r="BD58" s="634">
        <v>4.0843333333333334</v>
      </c>
      <c r="BE58" s="635">
        <v>4.8383811786507485</v>
      </c>
      <c r="BF58" s="630">
        <v>4.5010376360025974</v>
      </c>
      <c r="BG58" s="634">
        <v>4.3804573577268968</v>
      </c>
      <c r="BJ58" s="606" t="s">
        <v>86</v>
      </c>
      <c r="BK58" s="629">
        <v>3.3125</v>
      </c>
      <c r="BL58" s="630">
        <v>3.2224999999999997</v>
      </c>
      <c r="BM58" s="631">
        <v>2.8849999999999998</v>
      </c>
      <c r="BN58" s="632">
        <v>3.4025000000000003</v>
      </c>
      <c r="BO58" s="633">
        <v>3.27</v>
      </c>
      <c r="BP58" s="634">
        <v>3.0325000000000002</v>
      </c>
      <c r="BQ58" s="635">
        <v>3.6275000000000004</v>
      </c>
      <c r="BR58" s="630">
        <v>3.41</v>
      </c>
      <c r="BS58" s="634">
        <v>3.1</v>
      </c>
      <c r="BV58" s="606" t="s">
        <v>86</v>
      </c>
      <c r="BW58" s="629">
        <v>2.76</v>
      </c>
      <c r="BX58" s="630">
        <v>2.64</v>
      </c>
      <c r="BY58" s="631">
        <v>2.4900000000000002</v>
      </c>
      <c r="BZ58" s="632">
        <v>2.4</v>
      </c>
      <c r="CA58" s="633">
        <v>2.25</v>
      </c>
      <c r="CB58" s="634">
        <v>2.33</v>
      </c>
      <c r="CC58" s="635">
        <v>2.63</v>
      </c>
      <c r="CD58" s="630">
        <v>2.4300000000000002</v>
      </c>
      <c r="CE58" s="634">
        <v>2.4300000000000002</v>
      </c>
    </row>
    <row r="59" spans="2:83" ht="15" customHeight="1" x14ac:dyDescent="0.25">
      <c r="B59" s="570" t="s">
        <v>87</v>
      </c>
      <c r="C59" s="636">
        <v>3.4056233907230107</v>
      </c>
      <c r="D59" s="618">
        <v>3.6887942415423907</v>
      </c>
      <c r="E59" s="614">
        <v>2.7909471371796251</v>
      </c>
      <c r="F59" s="637">
        <v>3.4420000000000002</v>
      </c>
      <c r="G59" s="638">
        <v>3.2399999999999998</v>
      </c>
      <c r="H59" s="614">
        <v>3.0259999999999998</v>
      </c>
      <c r="I59" s="636">
        <v>4.0295914662745904</v>
      </c>
      <c r="J59" s="618">
        <v>3.7119999999999997</v>
      </c>
      <c r="K59" s="614">
        <v>3.3647658443973567</v>
      </c>
      <c r="N59" s="570" t="s">
        <v>87</v>
      </c>
      <c r="O59" s="636">
        <v>3.13</v>
      </c>
      <c r="P59" s="618">
        <v>2.908915388698381</v>
      </c>
      <c r="Q59" s="614">
        <v>2.4107162850959942</v>
      </c>
      <c r="R59" s="637">
        <v>3.0479999999999996</v>
      </c>
      <c r="S59" s="638">
        <v>2.8340000000000005</v>
      </c>
      <c r="T59" s="614">
        <v>2.5119999999999996</v>
      </c>
      <c r="U59" s="636">
        <v>3.7604672151790504</v>
      </c>
      <c r="V59" s="618">
        <v>2.8340000000000005</v>
      </c>
      <c r="W59" s="614">
        <v>3.0238406073051824</v>
      </c>
      <c r="Z59" s="570" t="s">
        <v>87</v>
      </c>
      <c r="AA59" s="636">
        <v>2.4216958977588012</v>
      </c>
      <c r="AB59" s="618">
        <v>2.2283649196131092</v>
      </c>
      <c r="AC59" s="614">
        <v>1.6982341725746628</v>
      </c>
      <c r="AD59" s="637">
        <v>2.4177999999999997</v>
      </c>
      <c r="AE59" s="638">
        <v>2.2114000000000003</v>
      </c>
      <c r="AF59" s="614">
        <v>1.8698000000000001</v>
      </c>
      <c r="AG59" s="636">
        <v>3.1893767335994854</v>
      </c>
      <c r="AH59" s="618">
        <v>2.9219213909692496</v>
      </c>
      <c r="AI59" s="614">
        <v>2.4306043017997778</v>
      </c>
      <c r="AL59" s="570" t="s">
        <v>87</v>
      </c>
      <c r="AM59" s="636">
        <v>2.9338892412073383</v>
      </c>
      <c r="AN59" s="618">
        <v>2.7380835910567702</v>
      </c>
      <c r="AO59" s="614">
        <v>2.5900118148042237</v>
      </c>
      <c r="AP59" s="637">
        <v>2.8282499999999997</v>
      </c>
      <c r="AQ59" s="638">
        <v>2.633</v>
      </c>
      <c r="AR59" s="614">
        <v>2.6480000000000001</v>
      </c>
      <c r="AS59" s="636">
        <v>3.5818711979762998</v>
      </c>
      <c r="AT59" s="618">
        <v>3.3009642978981852</v>
      </c>
      <c r="AU59" s="614">
        <v>3.0666671508839789</v>
      </c>
      <c r="AX59" s="570" t="s">
        <v>87</v>
      </c>
      <c r="AY59" s="636">
        <v>4.2732263271914999</v>
      </c>
      <c r="AZ59" s="618">
        <v>4.0783103738962829</v>
      </c>
      <c r="BA59" s="614">
        <v>3.9307210885966182</v>
      </c>
      <c r="BB59" s="637">
        <v>4.29</v>
      </c>
      <c r="BC59" s="638">
        <v>3.9529999999999998</v>
      </c>
      <c r="BD59" s="614">
        <v>4.0302500000000006</v>
      </c>
      <c r="BE59" s="636">
        <v>4.8817455240604426</v>
      </c>
      <c r="BF59" s="618">
        <v>4.5265252997626444</v>
      </c>
      <c r="BG59" s="614">
        <v>4.3469394518541282</v>
      </c>
      <c r="BJ59" s="570" t="s">
        <v>87</v>
      </c>
      <c r="BK59" s="636">
        <v>3.3574999999999999</v>
      </c>
      <c r="BL59" s="618">
        <v>3.2574999999999998</v>
      </c>
      <c r="BM59" s="614">
        <v>2.8825000000000003</v>
      </c>
      <c r="BN59" s="637">
        <v>3.36</v>
      </c>
      <c r="BO59" s="638">
        <v>3.2149999999999999</v>
      </c>
      <c r="BP59" s="614">
        <v>2.9274999999999998</v>
      </c>
      <c r="BQ59" s="636">
        <v>3.6589</v>
      </c>
      <c r="BR59" s="618">
        <v>3.4236250000000004</v>
      </c>
      <c r="BS59" s="614">
        <v>3.0629749999999998</v>
      </c>
      <c r="BV59" s="570" t="s">
        <v>87</v>
      </c>
      <c r="BW59" s="636">
        <v>2.69</v>
      </c>
      <c r="BX59" s="618">
        <v>2.58</v>
      </c>
      <c r="BY59" s="614">
        <v>2.31</v>
      </c>
      <c r="BZ59" s="637">
        <v>2.56</v>
      </c>
      <c r="CA59" s="638">
        <v>2.36</v>
      </c>
      <c r="CB59" s="614">
        <v>2.25</v>
      </c>
      <c r="CC59" s="636">
        <v>2.82</v>
      </c>
      <c r="CD59" s="618">
        <v>2.62</v>
      </c>
      <c r="CE59" s="614">
        <v>2.41</v>
      </c>
    </row>
    <row r="60" spans="2:83" ht="15" customHeight="1" x14ac:dyDescent="0.25">
      <c r="B60" s="570" t="s">
        <v>88</v>
      </c>
      <c r="C60" s="636">
        <v>3.3423359686004064</v>
      </c>
      <c r="D60" s="618">
        <v>3.6043043130276806</v>
      </c>
      <c r="E60" s="614">
        <v>2.6880391059755224</v>
      </c>
      <c r="F60" s="637">
        <v>3.3845000000000001</v>
      </c>
      <c r="G60" s="638">
        <v>3.1702500000000002</v>
      </c>
      <c r="H60" s="614">
        <v>2.9557500000000001</v>
      </c>
      <c r="I60" s="636">
        <v>3.9471875205499978</v>
      </c>
      <c r="J60" s="618">
        <v>3.6575000000000002</v>
      </c>
      <c r="K60" s="614">
        <v>3.278762767847609</v>
      </c>
      <c r="N60" s="570" t="s">
        <v>88</v>
      </c>
      <c r="O60" s="636">
        <v>3.46</v>
      </c>
      <c r="P60" s="618">
        <v>2.8662907989903283</v>
      </c>
      <c r="Q60" s="614">
        <v>2.3912754944861567</v>
      </c>
      <c r="R60" s="637">
        <v>3.008</v>
      </c>
      <c r="S60" s="638">
        <v>2.8094999999999999</v>
      </c>
      <c r="T60" s="614">
        <v>2.4957499999999997</v>
      </c>
      <c r="U60" s="636">
        <v>3.6534561434260349</v>
      </c>
      <c r="V60" s="618">
        <v>2.8094999999999999</v>
      </c>
      <c r="W60" s="614">
        <v>2.9636685807767718</v>
      </c>
      <c r="Z60" s="570" t="s">
        <v>88</v>
      </c>
      <c r="AA60" s="636">
        <v>2.6205902721653382</v>
      </c>
      <c r="AB60" s="618">
        <v>2.4314802960715474</v>
      </c>
      <c r="AC60" s="614">
        <v>1.9163081749914115</v>
      </c>
      <c r="AD60" s="637">
        <v>2.4702500000000001</v>
      </c>
      <c r="AE60" s="638">
        <v>2.29</v>
      </c>
      <c r="AF60" s="614">
        <v>1.9249999999999998</v>
      </c>
      <c r="AG60" s="636">
        <v>3.2463325911575955</v>
      </c>
      <c r="AH60" s="618">
        <v>2.9907613982190924</v>
      </c>
      <c r="AI60" s="614">
        <v>2.5207538153796696</v>
      </c>
      <c r="AL60" s="570" t="s">
        <v>88</v>
      </c>
      <c r="AM60" s="636">
        <v>3.1632948549697173</v>
      </c>
      <c r="AN60" s="618">
        <v>2.9658761926973956</v>
      </c>
      <c r="AO60" s="614">
        <v>2.659906608483511</v>
      </c>
      <c r="AP60" s="637">
        <v>3.1370000000000005</v>
      </c>
      <c r="AQ60" s="638">
        <v>2.9377500000000003</v>
      </c>
      <c r="AR60" s="614">
        <v>2.8362500000000002</v>
      </c>
      <c r="AS60" s="636">
        <v>3.839497315524163</v>
      </c>
      <c r="AT60" s="618">
        <v>3.5644515802237784</v>
      </c>
      <c r="AU60" s="614">
        <v>3.2175750551586857</v>
      </c>
      <c r="AX60" s="570" t="s">
        <v>88</v>
      </c>
      <c r="AY60" s="636">
        <v>4.3363235566393037</v>
      </c>
      <c r="AZ60" s="618">
        <v>4.1435955271342184</v>
      </c>
      <c r="BA60" s="614">
        <v>3.9172049666716893</v>
      </c>
      <c r="BB60" s="637">
        <v>4.4617500000000003</v>
      </c>
      <c r="BC60" s="638">
        <v>4.0785</v>
      </c>
      <c r="BD60" s="614">
        <v>4.0547500000000003</v>
      </c>
      <c r="BE60" s="636">
        <v>5.0216115147354996</v>
      </c>
      <c r="BF60" s="618">
        <v>4.6443964390806558</v>
      </c>
      <c r="BG60" s="614">
        <v>4.3719020561165998</v>
      </c>
      <c r="BJ60" s="570" t="s">
        <v>88</v>
      </c>
      <c r="BK60" s="636">
        <v>3.6096200978984228</v>
      </c>
      <c r="BL60" s="618">
        <v>3.4756055012685692</v>
      </c>
      <c r="BM60" s="614">
        <v>2.9781627035658196</v>
      </c>
      <c r="BN60" s="637">
        <v>3.536</v>
      </c>
      <c r="BO60" s="638">
        <v>3.37</v>
      </c>
      <c r="BP60" s="614">
        <v>3.0119999999999996</v>
      </c>
      <c r="BQ60" s="636">
        <v>3.7530000000000001</v>
      </c>
      <c r="BR60" s="618">
        <v>3.5106200000000003</v>
      </c>
      <c r="BS60" s="614">
        <v>3.0923600000000002</v>
      </c>
      <c r="BV60" s="570" t="s">
        <v>88</v>
      </c>
      <c r="BW60" s="636">
        <v>2.65</v>
      </c>
      <c r="BX60" s="618">
        <v>2.54</v>
      </c>
      <c r="BY60" s="614">
        <v>2.19</v>
      </c>
      <c r="BZ60" s="637">
        <v>2.58</v>
      </c>
      <c r="CA60" s="638">
        <v>2.3199999999999998</v>
      </c>
      <c r="CB60" s="614">
        <v>2.04</v>
      </c>
      <c r="CC60" s="636">
        <v>2.86</v>
      </c>
      <c r="CD60" s="618">
        <v>2.66</v>
      </c>
      <c r="CE60" s="614">
        <v>2.27</v>
      </c>
    </row>
    <row r="61" spans="2:83" ht="15" customHeight="1" x14ac:dyDescent="0.25">
      <c r="B61" s="570" t="s">
        <v>89</v>
      </c>
      <c r="C61" s="636">
        <v>3.5412822026715345</v>
      </c>
      <c r="D61" s="618">
        <v>3.6587924803987404</v>
      </c>
      <c r="E61" s="614">
        <v>2.8674159560945198</v>
      </c>
      <c r="F61" s="637">
        <v>3.5174999999999996</v>
      </c>
      <c r="G61" s="638">
        <v>3.29</v>
      </c>
      <c r="H61" s="614">
        <v>3.0249999999999999</v>
      </c>
      <c r="I61" s="636">
        <v>4.0093777638161336</v>
      </c>
      <c r="J61" s="618">
        <v>3.8424999999999998</v>
      </c>
      <c r="K61" s="614">
        <v>3.3181767462025196</v>
      </c>
      <c r="N61" s="570" t="s">
        <v>89</v>
      </c>
      <c r="O61" s="636">
        <v>3.23</v>
      </c>
      <c r="P61" s="618">
        <v>2.9817248334157984</v>
      </c>
      <c r="Q61" s="614">
        <v>2.3996926450626983</v>
      </c>
      <c r="R61" s="637">
        <v>3.03925</v>
      </c>
      <c r="S61" s="638">
        <v>2.8579999999999997</v>
      </c>
      <c r="T61" s="614">
        <v>2.4285000000000001</v>
      </c>
      <c r="U61" s="636">
        <v>3.6485633825043626</v>
      </c>
      <c r="V61" s="618">
        <v>2.8579999999999997</v>
      </c>
      <c r="W61" s="614">
        <v>2.9118208789446598</v>
      </c>
      <c r="Z61" s="570" t="s">
        <v>89</v>
      </c>
      <c r="AA61" s="636">
        <v>2.7777039415962341</v>
      </c>
      <c r="AB61" s="618">
        <v>2.5865265220641409</v>
      </c>
      <c r="AC61" s="614">
        <v>1.9564045168875341</v>
      </c>
      <c r="AD61" s="637">
        <v>2.7190000000000003</v>
      </c>
      <c r="AE61" s="638">
        <v>2.5309999999999997</v>
      </c>
      <c r="AF61" s="614">
        <v>1.992</v>
      </c>
      <c r="AG61" s="636">
        <v>3.4352331705300667</v>
      </c>
      <c r="AH61" s="618">
        <v>3.180351362768767</v>
      </c>
      <c r="AI61" s="614">
        <v>2.5623828240922117</v>
      </c>
      <c r="AL61" s="570" t="s">
        <v>89</v>
      </c>
      <c r="AM61" s="636">
        <v>3.217380434820583</v>
      </c>
      <c r="AN61" s="618">
        <v>3.0246068407039637</v>
      </c>
      <c r="AO61" s="614">
        <v>2.6053485769474514</v>
      </c>
      <c r="AP61" s="637">
        <v>3.1462500000000002</v>
      </c>
      <c r="AQ61" s="638">
        <v>2.9370000000000003</v>
      </c>
      <c r="AR61" s="614">
        <v>2.6617500000000001</v>
      </c>
      <c r="AS61" s="636">
        <v>3.8688684424856974</v>
      </c>
      <c r="AT61" s="618">
        <v>3.596600094621464</v>
      </c>
      <c r="AU61" s="614">
        <v>3.1040912128704736</v>
      </c>
      <c r="AX61" s="570" t="s">
        <v>89</v>
      </c>
      <c r="AY61" s="636">
        <v>4.4207400297321131</v>
      </c>
      <c r="AZ61" s="618">
        <v>4.2276019670845644</v>
      </c>
      <c r="BA61" s="614">
        <v>3.9351015289063191</v>
      </c>
      <c r="BB61" s="637">
        <v>4.3710000000000004</v>
      </c>
      <c r="BC61" s="638">
        <v>4.1306666666666665</v>
      </c>
      <c r="BD61" s="614">
        <v>4.0136666666666665</v>
      </c>
      <c r="BE61" s="636">
        <v>4.9961534057311008</v>
      </c>
      <c r="BF61" s="618">
        <v>4.685134140968743</v>
      </c>
      <c r="BG61" s="614">
        <v>4.3318940916990671</v>
      </c>
      <c r="BJ61" s="570" t="s">
        <v>89</v>
      </c>
      <c r="BK61" s="636">
        <v>3.77</v>
      </c>
      <c r="BL61" s="618">
        <v>3.6149999999999998</v>
      </c>
      <c r="BM61" s="614">
        <v>3.0700000000000003</v>
      </c>
      <c r="BN61" s="637">
        <v>3.7075000000000005</v>
      </c>
      <c r="BO61" s="638">
        <v>3.4850000000000003</v>
      </c>
      <c r="BP61" s="614">
        <v>3.1725000000000003</v>
      </c>
      <c r="BQ61" s="636">
        <v>3.8880250000000003</v>
      </c>
      <c r="BR61" s="618">
        <v>3.6156000000000001</v>
      </c>
      <c r="BS61" s="614">
        <v>3.2126000000000001</v>
      </c>
      <c r="BV61" s="570" t="s">
        <v>89</v>
      </c>
      <c r="BW61" s="636">
        <v>2.66</v>
      </c>
      <c r="BX61" s="618">
        <v>2.5499999999999998</v>
      </c>
      <c r="BY61" s="614">
        <v>2.1</v>
      </c>
      <c r="BZ61" s="637">
        <v>2.71</v>
      </c>
      <c r="CA61" s="638">
        <v>2.5099999999999998</v>
      </c>
      <c r="CB61" s="614">
        <v>2.25</v>
      </c>
      <c r="CC61" s="636">
        <v>2.97</v>
      </c>
      <c r="CD61" s="618">
        <v>2.77</v>
      </c>
      <c r="CE61" s="614">
        <v>2.39</v>
      </c>
    </row>
    <row r="62" spans="2:83" ht="15" customHeight="1" x14ac:dyDescent="0.25">
      <c r="B62" s="570" t="s">
        <v>90</v>
      </c>
      <c r="C62" s="636">
        <v>3.6714270178126824</v>
      </c>
      <c r="D62" s="618">
        <v>3.7399713780958121</v>
      </c>
      <c r="E62" s="614">
        <v>2.9702043377587071</v>
      </c>
      <c r="F62" s="637">
        <v>3.6518000000000002</v>
      </c>
      <c r="G62" s="638">
        <v>3.4176000000000002</v>
      </c>
      <c r="H62" s="614">
        <v>3.2067999999999999</v>
      </c>
      <c r="I62" s="636">
        <v>4.0886108488468667</v>
      </c>
      <c r="J62" s="618">
        <v>3.9880000000000004</v>
      </c>
      <c r="K62" s="614">
        <v>3.4433314898571963</v>
      </c>
      <c r="N62" s="570" t="s">
        <v>90</v>
      </c>
      <c r="O62" s="636">
        <v>3.13</v>
      </c>
      <c r="P62" s="618">
        <v>2.894407317426662</v>
      </c>
      <c r="Q62" s="614">
        <v>2.2978112795933194</v>
      </c>
      <c r="R62" s="637">
        <v>3.0779999999999998</v>
      </c>
      <c r="S62" s="638">
        <v>2.8559999999999999</v>
      </c>
      <c r="T62" s="614">
        <v>2.5060000000000002</v>
      </c>
      <c r="U62" s="636">
        <v>3.6727327174621052</v>
      </c>
      <c r="V62" s="618">
        <v>2.8559999999999999</v>
      </c>
      <c r="W62" s="614">
        <v>2.9095650324098523</v>
      </c>
      <c r="Z62" s="570" t="s">
        <v>90</v>
      </c>
      <c r="AA62" s="636">
        <v>2.9139493025262468</v>
      </c>
      <c r="AB62" s="618">
        <v>2.7194409534042081</v>
      </c>
      <c r="AC62" s="614">
        <v>2.1224007089818619</v>
      </c>
      <c r="AD62" s="637">
        <v>2.8723999999999998</v>
      </c>
      <c r="AE62" s="638">
        <v>2.6724000000000006</v>
      </c>
      <c r="AF62" s="614">
        <v>2.1745999999999999</v>
      </c>
      <c r="AG62" s="636">
        <v>3.478980557335428</v>
      </c>
      <c r="AH62" s="618">
        <v>3.2189249263961153</v>
      </c>
      <c r="AI62" s="614">
        <v>2.6320078388823158</v>
      </c>
      <c r="AL62" s="570" t="s">
        <v>90</v>
      </c>
      <c r="AM62" s="636">
        <v>3.3888425708412604</v>
      </c>
      <c r="AN62" s="618">
        <v>3.1973420088812112</v>
      </c>
      <c r="AO62" s="614">
        <v>2.7730960712247716</v>
      </c>
      <c r="AP62" s="637">
        <v>3.41675</v>
      </c>
      <c r="AQ62" s="638">
        <v>3.1420000000000003</v>
      </c>
      <c r="AR62" s="614">
        <v>2.8652500000000001</v>
      </c>
      <c r="AS62" s="636">
        <v>4.0454576052521283</v>
      </c>
      <c r="AT62" s="618">
        <v>3.7393280419761425</v>
      </c>
      <c r="AU62" s="614">
        <v>3.2972980252739155</v>
      </c>
      <c r="AX62" s="570" t="s">
        <v>90</v>
      </c>
      <c r="AY62" s="636">
        <v>4.3893527164666555</v>
      </c>
      <c r="AZ62" s="618">
        <v>4.1958716218105838</v>
      </c>
      <c r="BA62" s="614">
        <v>3.9318495388167078</v>
      </c>
      <c r="BB62" s="637">
        <v>4.4042500000000002</v>
      </c>
      <c r="BC62" s="638">
        <v>4.16425</v>
      </c>
      <c r="BD62" s="614">
        <v>4.0350000000000001</v>
      </c>
      <c r="BE62" s="636">
        <v>5.0271524600665503</v>
      </c>
      <c r="BF62" s="618">
        <v>4.7121928451957231</v>
      </c>
      <c r="BG62" s="614">
        <v>4.3586562319926703</v>
      </c>
      <c r="BJ62" s="570" t="s">
        <v>90</v>
      </c>
      <c r="BK62" s="636">
        <v>3.6660000000000004</v>
      </c>
      <c r="BL62" s="618">
        <v>3.5380000000000003</v>
      </c>
      <c r="BM62" s="614">
        <v>3.05</v>
      </c>
      <c r="BN62" s="637">
        <v>3.6240000000000001</v>
      </c>
      <c r="BO62" s="638">
        <v>3.4159999999999995</v>
      </c>
      <c r="BP62" s="614">
        <v>3.13</v>
      </c>
      <c r="BQ62" s="636">
        <v>3.8518999999999997</v>
      </c>
      <c r="BR62" s="618">
        <v>3.5829399999999998</v>
      </c>
      <c r="BS62" s="614">
        <v>3.2303799999999994</v>
      </c>
      <c r="BV62" s="570" t="s">
        <v>90</v>
      </c>
      <c r="BW62" s="636">
        <v>2.81</v>
      </c>
      <c r="BX62" s="618">
        <v>2.7</v>
      </c>
      <c r="BY62" s="614">
        <v>2.1800000000000002</v>
      </c>
      <c r="BZ62" s="637">
        <v>2.91</v>
      </c>
      <c r="CA62" s="638">
        <v>2.69</v>
      </c>
      <c r="CB62" s="614">
        <v>2.2999999999999998</v>
      </c>
      <c r="CC62" s="636">
        <v>3.07</v>
      </c>
      <c r="CD62" s="618">
        <v>2.87</v>
      </c>
      <c r="CE62" s="614">
        <v>2.4300000000000002</v>
      </c>
    </row>
    <row r="63" spans="2:83" ht="15" customHeight="1" x14ac:dyDescent="0.25">
      <c r="B63" s="570" t="s">
        <v>91</v>
      </c>
      <c r="C63" s="636">
        <v>3.6156099945564453</v>
      </c>
      <c r="D63" s="618">
        <v>3.8037344469350938</v>
      </c>
      <c r="E63" s="614">
        <v>2.9531495747591738</v>
      </c>
      <c r="F63" s="637">
        <v>3.7749999999999999</v>
      </c>
      <c r="G63" s="638">
        <v>3.5249999999999999</v>
      </c>
      <c r="H63" s="614">
        <v>3.3274999999999997</v>
      </c>
      <c r="I63" s="636">
        <v>4.171798489872133</v>
      </c>
      <c r="J63" s="618">
        <v>3.98</v>
      </c>
      <c r="K63" s="614">
        <v>3.5454168617285244</v>
      </c>
      <c r="N63" s="570" t="s">
        <v>91</v>
      </c>
      <c r="O63" s="636">
        <v>3.11</v>
      </c>
      <c r="P63" s="618">
        <v>2.8499117581231168</v>
      </c>
      <c r="Q63" s="614">
        <v>2.2391848371772189</v>
      </c>
      <c r="R63" s="637">
        <v>3.06</v>
      </c>
      <c r="S63" s="638">
        <v>2.8200000000000003</v>
      </c>
      <c r="T63" s="614">
        <v>2.4849999999999999</v>
      </c>
      <c r="U63" s="636">
        <v>3.6262517328026811</v>
      </c>
      <c r="V63" s="618">
        <v>2.8200000000000003</v>
      </c>
      <c r="W63" s="614">
        <v>2.8633663145649098</v>
      </c>
      <c r="Z63" s="570" t="s">
        <v>91</v>
      </c>
      <c r="AA63" s="636">
        <v>2.9891531381335481</v>
      </c>
      <c r="AB63" s="618">
        <v>2.7962634470674872</v>
      </c>
      <c r="AC63" s="614">
        <v>2.2499591899379503</v>
      </c>
      <c r="AD63" s="637">
        <v>2.9732500000000002</v>
      </c>
      <c r="AE63" s="638">
        <v>2.7897499999999997</v>
      </c>
      <c r="AF63" s="614">
        <v>2.3587500000000001</v>
      </c>
      <c r="AG63" s="636">
        <v>3.5375527617573144</v>
      </c>
      <c r="AH63" s="618">
        <v>3.2923648802484786</v>
      </c>
      <c r="AI63" s="614">
        <v>2.759744801541439</v>
      </c>
      <c r="AL63" s="570" t="s">
        <v>91</v>
      </c>
      <c r="AM63" s="636">
        <v>3.4329097122051171</v>
      </c>
      <c r="AN63" s="618">
        <v>3.2377560434906862</v>
      </c>
      <c r="AO63" s="614">
        <v>2.7122032675430887</v>
      </c>
      <c r="AP63" s="637">
        <v>3.6612499999999999</v>
      </c>
      <c r="AQ63" s="638">
        <v>3.2675000000000001</v>
      </c>
      <c r="AR63" s="614">
        <v>2.8994999999999997</v>
      </c>
      <c r="AS63" s="636">
        <v>4.1994106693977669</v>
      </c>
      <c r="AT63" s="618">
        <v>3.8417328888275741</v>
      </c>
      <c r="AU63" s="614">
        <v>3.3202582044352091</v>
      </c>
      <c r="AX63" s="570" t="s">
        <v>91</v>
      </c>
      <c r="AY63" s="636">
        <v>4.4542803292370685</v>
      </c>
      <c r="AZ63" s="618">
        <v>4.2627897275677968</v>
      </c>
      <c r="BA63" s="614">
        <v>3.8919024332694705</v>
      </c>
      <c r="BB63" s="637">
        <v>4.4887999999999995</v>
      </c>
      <c r="BC63" s="638">
        <v>4.1959999999999997</v>
      </c>
      <c r="BD63" s="614">
        <v>4.0006000000000004</v>
      </c>
      <c r="BE63" s="636">
        <v>5.099170409571931</v>
      </c>
      <c r="BF63" s="618">
        <v>4.7561556545839156</v>
      </c>
      <c r="BG63" s="614">
        <v>4.3371502728279783</v>
      </c>
      <c r="BJ63" s="570" t="s">
        <v>91</v>
      </c>
      <c r="BK63" s="636">
        <v>3.4360749999999998</v>
      </c>
      <c r="BL63" s="618">
        <v>3.307925</v>
      </c>
      <c r="BM63" s="614">
        <v>2.8306749999999998</v>
      </c>
      <c r="BN63" s="637">
        <v>3.4125000000000005</v>
      </c>
      <c r="BO63" s="638">
        <v>3.21</v>
      </c>
      <c r="BP63" s="614">
        <v>2.9750000000000001</v>
      </c>
      <c r="BQ63" s="636">
        <v>3.7268750000000002</v>
      </c>
      <c r="BR63" s="618">
        <v>3.4605999999999999</v>
      </c>
      <c r="BS63" s="614">
        <v>3.1347749999999999</v>
      </c>
      <c r="BV63" s="570" t="s">
        <v>91</v>
      </c>
      <c r="BW63" s="636">
        <v>3.14</v>
      </c>
      <c r="BX63" s="618">
        <v>3.02</v>
      </c>
      <c r="BY63" s="614">
        <v>2.44</v>
      </c>
      <c r="BZ63" s="637">
        <v>3.3</v>
      </c>
      <c r="CA63" s="638">
        <v>3.1</v>
      </c>
      <c r="CB63" s="614">
        <v>2.58</v>
      </c>
      <c r="CC63" s="636">
        <v>3.36</v>
      </c>
      <c r="CD63" s="618">
        <v>3.16</v>
      </c>
      <c r="CE63" s="614">
        <v>2.62</v>
      </c>
    </row>
    <row r="64" spans="2:83" ht="15" customHeight="1" x14ac:dyDescent="0.25">
      <c r="B64" s="570" t="s">
        <v>93</v>
      </c>
      <c r="C64" s="636">
        <v>3.6113895032152543</v>
      </c>
      <c r="D64" s="618">
        <v>3.7494398918429255</v>
      </c>
      <c r="E64" s="614">
        <v>2.961384752247743</v>
      </c>
      <c r="F64" s="637">
        <v>3.6775000000000002</v>
      </c>
      <c r="G64" s="638">
        <v>3.4307499999999997</v>
      </c>
      <c r="H64" s="614">
        <v>3.3200000000000003</v>
      </c>
      <c r="I64" s="636">
        <v>4.1168468081141159</v>
      </c>
      <c r="J64" s="618">
        <v>3.9649999999999999</v>
      </c>
      <c r="K64" s="614">
        <v>3.4911120733391163</v>
      </c>
      <c r="N64" s="570" t="s">
        <v>93</v>
      </c>
      <c r="O64" s="636">
        <v>3.75</v>
      </c>
      <c r="P64" s="618">
        <v>2.8147223025593004</v>
      </c>
      <c r="Q64" s="614">
        <v>2.2175375684063057</v>
      </c>
      <c r="R64" s="637">
        <v>2.911</v>
      </c>
      <c r="S64" s="638">
        <v>2.7352500000000002</v>
      </c>
      <c r="T64" s="614">
        <v>2.3855</v>
      </c>
      <c r="U64" s="636">
        <v>3.5449481114285684</v>
      </c>
      <c r="V64" s="618">
        <v>2.7352500000000002</v>
      </c>
      <c r="W64" s="614">
        <v>2.7895648400670132</v>
      </c>
      <c r="Z64" s="570" t="s">
        <v>93</v>
      </c>
      <c r="AA64" s="636">
        <v>2.8526610108800527</v>
      </c>
      <c r="AB64" s="618">
        <v>2.6565819786045632</v>
      </c>
      <c r="AC64" s="614">
        <v>2.1495258602447693</v>
      </c>
      <c r="AD64" s="637">
        <v>2.9124999999999996</v>
      </c>
      <c r="AE64" s="638">
        <v>2.7349999999999994</v>
      </c>
      <c r="AF64" s="614">
        <v>2.35</v>
      </c>
      <c r="AG64" s="636">
        <v>3.481642526529757</v>
      </c>
      <c r="AH64" s="618">
        <v>3.2433099350377383</v>
      </c>
      <c r="AI64" s="614">
        <v>2.75510595544631</v>
      </c>
      <c r="AL64" s="570" t="s">
        <v>93</v>
      </c>
      <c r="AM64" s="636">
        <v>3.4496004747623825</v>
      </c>
      <c r="AN64" s="618">
        <v>3.2554205124385494</v>
      </c>
      <c r="AO64" s="614">
        <v>2.5327206864716079</v>
      </c>
      <c r="AP64" s="637">
        <v>3.7757499999999999</v>
      </c>
      <c r="AQ64" s="638">
        <v>3.2832499999999998</v>
      </c>
      <c r="AR64" s="614">
        <v>2.7497500000000001</v>
      </c>
      <c r="AS64" s="636">
        <v>4.2743395819631687</v>
      </c>
      <c r="AT64" s="618">
        <v>3.8691344247390127</v>
      </c>
      <c r="AU64" s="614">
        <v>3.1853206419428925</v>
      </c>
      <c r="AX64" s="570" t="s">
        <v>93</v>
      </c>
      <c r="AY64" s="636">
        <v>4.4979513684840748</v>
      </c>
      <c r="AZ64" s="618">
        <v>4.3075143040404056</v>
      </c>
      <c r="BA64" s="614">
        <v>3.8896450674505876</v>
      </c>
      <c r="BB64" s="637">
        <v>4.6030000000000006</v>
      </c>
      <c r="BC64" s="638">
        <v>4.2506666666666666</v>
      </c>
      <c r="BD64" s="614">
        <v>4.0206666666666671</v>
      </c>
      <c r="BE64" s="636">
        <v>5.1496368988925791</v>
      </c>
      <c r="BF64" s="618">
        <v>4.7922162907421795</v>
      </c>
      <c r="BG64" s="614">
        <v>4.3502946342322986</v>
      </c>
      <c r="BJ64" s="570" t="s">
        <v>93</v>
      </c>
      <c r="BK64" s="636">
        <v>3.4224999999999999</v>
      </c>
      <c r="BL64" s="618">
        <v>3.2924999999999995</v>
      </c>
      <c r="BM64" s="614">
        <v>2.86</v>
      </c>
      <c r="BN64" s="637">
        <v>3.4125000000000001</v>
      </c>
      <c r="BO64" s="638">
        <v>3.24</v>
      </c>
      <c r="BP64" s="614">
        <v>2.9699999999999998</v>
      </c>
      <c r="BQ64" s="636">
        <v>3.756875</v>
      </c>
      <c r="BR64" s="618">
        <v>3.509525</v>
      </c>
      <c r="BS64" s="614">
        <v>3.1571750000000001</v>
      </c>
      <c r="BV64" s="570" t="s">
        <v>93</v>
      </c>
      <c r="BW64" s="636">
        <v>3.25</v>
      </c>
      <c r="BX64" s="618">
        <v>3.13</v>
      </c>
      <c r="BY64" s="614">
        <v>2.54</v>
      </c>
      <c r="BZ64" s="637">
        <v>3.2</v>
      </c>
      <c r="CA64" s="638">
        <v>3</v>
      </c>
      <c r="CB64" s="614">
        <v>2.61</v>
      </c>
      <c r="CC64" s="636">
        <v>3.41</v>
      </c>
      <c r="CD64" s="618">
        <v>3.21</v>
      </c>
      <c r="CE64" s="614">
        <v>2.74</v>
      </c>
    </row>
    <row r="65" spans="2:83" ht="15" customHeight="1" x14ac:dyDescent="0.25">
      <c r="B65" s="570" t="s">
        <v>94</v>
      </c>
      <c r="C65" s="636">
        <v>3.6032837919101679</v>
      </c>
      <c r="D65" s="618">
        <v>3.7803195277795951</v>
      </c>
      <c r="E65" s="614">
        <v>2.9361247631401572</v>
      </c>
      <c r="F65" s="637">
        <v>3.6640000000000001</v>
      </c>
      <c r="G65" s="638">
        <v>3.4460000000000002</v>
      </c>
      <c r="H65" s="614">
        <v>3.2479999999999998</v>
      </c>
      <c r="I65" s="636">
        <v>4.1252908001027464</v>
      </c>
      <c r="J65" s="618">
        <v>3.9540000000000006</v>
      </c>
      <c r="K65" s="614">
        <v>3.4782440625286801</v>
      </c>
      <c r="N65" s="570" t="s">
        <v>94</v>
      </c>
      <c r="O65" s="636">
        <v>3.63</v>
      </c>
      <c r="P65" s="618">
        <v>2.9610417684929593</v>
      </c>
      <c r="Q65" s="614">
        <v>2.4076531661679494</v>
      </c>
      <c r="R65" s="637">
        <v>3.0699999999999994</v>
      </c>
      <c r="S65" s="638">
        <v>2.8720000000000003</v>
      </c>
      <c r="T65" s="614">
        <v>2.5499999999999998</v>
      </c>
      <c r="U65" s="636">
        <v>3.6600198300418136</v>
      </c>
      <c r="V65" s="618">
        <v>2.8720000000000003</v>
      </c>
      <c r="W65" s="614">
        <v>2.9194480383300192</v>
      </c>
      <c r="Z65" s="570" t="s">
        <v>94</v>
      </c>
      <c r="AA65" s="636">
        <v>2.8580928968282091</v>
      </c>
      <c r="AB65" s="618">
        <v>2.6606763887201645</v>
      </c>
      <c r="AC65" s="614">
        <v>2.151743132961184</v>
      </c>
      <c r="AD65" s="637">
        <v>2.7904</v>
      </c>
      <c r="AE65" s="638">
        <v>2.6274000000000002</v>
      </c>
      <c r="AF65" s="614">
        <v>2.2001999999999997</v>
      </c>
      <c r="AG65" s="636">
        <v>3.3863061302502615</v>
      </c>
      <c r="AH65" s="618">
        <v>3.1579936385104985</v>
      </c>
      <c r="AI65" s="614">
        <v>2.648964445795376</v>
      </c>
      <c r="AL65" s="570" t="s">
        <v>94</v>
      </c>
      <c r="AM65" s="636">
        <v>3.2152242532778184</v>
      </c>
      <c r="AN65" s="618">
        <v>3.0207976057383625</v>
      </c>
      <c r="AO65" s="614">
        <v>2.3029916387232952</v>
      </c>
      <c r="AP65" s="637">
        <v>3.5175000000000001</v>
      </c>
      <c r="AQ65" s="638">
        <v>3.1180000000000003</v>
      </c>
      <c r="AR65" s="614">
        <v>2.5622500000000001</v>
      </c>
      <c r="AS65" s="636">
        <v>4.056941737334367</v>
      </c>
      <c r="AT65" s="618">
        <v>3.6836099434282201</v>
      </c>
      <c r="AU65" s="614">
        <v>3.0044690284685309</v>
      </c>
      <c r="AX65" s="570" t="s">
        <v>94</v>
      </c>
      <c r="AY65" s="636">
        <v>4.2763606511340555</v>
      </c>
      <c r="AZ65" s="618">
        <v>4.0868243398499571</v>
      </c>
      <c r="BA65" s="614">
        <v>3.7915095793345812</v>
      </c>
      <c r="BB65" s="637">
        <v>4.3436000000000003</v>
      </c>
      <c r="BC65" s="638">
        <v>4.0695999999999994</v>
      </c>
      <c r="BD65" s="614">
        <v>3.9354</v>
      </c>
      <c r="BE65" s="636">
        <v>4.9429082673763016</v>
      </c>
      <c r="BF65" s="618">
        <v>4.6269336750095276</v>
      </c>
      <c r="BG65" s="614">
        <v>4.2756201381667367</v>
      </c>
      <c r="BJ65" s="570" t="s">
        <v>94</v>
      </c>
      <c r="BK65" s="636">
        <v>3.4539999999999997</v>
      </c>
      <c r="BL65" s="618">
        <v>3.3280000000000003</v>
      </c>
      <c r="BM65" s="614">
        <v>2.8899999999999997</v>
      </c>
      <c r="BN65" s="637">
        <v>3.4019999999999997</v>
      </c>
      <c r="BO65" s="638">
        <v>3.242</v>
      </c>
      <c r="BP65" s="614">
        <v>3.0140000000000002</v>
      </c>
      <c r="BQ65" s="636">
        <v>3.7545200000000003</v>
      </c>
      <c r="BR65" s="618">
        <v>3.5066200000000003</v>
      </c>
      <c r="BS65" s="614">
        <v>3.1744800000000004</v>
      </c>
      <c r="BV65" s="570" t="s">
        <v>94</v>
      </c>
      <c r="BW65" s="636">
        <v>3.2</v>
      </c>
      <c r="BX65" s="618">
        <v>3.08</v>
      </c>
      <c r="BY65" s="614">
        <v>2.6</v>
      </c>
      <c r="BZ65" s="637">
        <v>3.33</v>
      </c>
      <c r="CA65" s="638">
        <v>3.13</v>
      </c>
      <c r="CB65" s="614">
        <v>2.78</v>
      </c>
      <c r="CC65" s="636">
        <v>3.45</v>
      </c>
      <c r="CD65" s="618">
        <v>3.25</v>
      </c>
      <c r="CE65" s="614">
        <v>2.81</v>
      </c>
    </row>
    <row r="66" spans="2:83" ht="15" customHeight="1" x14ac:dyDescent="0.25">
      <c r="B66" s="570" t="s">
        <v>101</v>
      </c>
      <c r="C66" s="636">
        <v>3.5727876520355077</v>
      </c>
      <c r="D66" s="618">
        <v>3.8056496334308245</v>
      </c>
      <c r="E66" s="614">
        <v>3.0054258350032184</v>
      </c>
      <c r="F66" s="637">
        <v>3.6274999999999999</v>
      </c>
      <c r="G66" s="638">
        <v>3.4350000000000001</v>
      </c>
      <c r="H66" s="614">
        <v>3.3000000000000003</v>
      </c>
      <c r="I66" s="636">
        <v>4.1252144580356935</v>
      </c>
      <c r="J66" s="618">
        <v>3.9350000000000001</v>
      </c>
      <c r="K66" s="614">
        <v>3.5238791551973465</v>
      </c>
      <c r="N66" s="570" t="s">
        <v>101</v>
      </c>
      <c r="O66" s="636">
        <v>3.41</v>
      </c>
      <c r="P66" s="618">
        <v>3.1689458900899199</v>
      </c>
      <c r="Q66" s="614">
        <v>2.5079686937407111</v>
      </c>
      <c r="R66" s="637">
        <v>3.3025000000000002</v>
      </c>
      <c r="S66" s="638">
        <v>3.0174999999999996</v>
      </c>
      <c r="T66" s="614">
        <v>2.6675</v>
      </c>
      <c r="U66" s="636">
        <v>3.8721793232843487</v>
      </c>
      <c r="V66" s="618">
        <v>3.0174999999999996</v>
      </c>
      <c r="W66" s="614">
        <v>3.0628570946771587</v>
      </c>
      <c r="Z66" s="570" t="s">
        <v>101</v>
      </c>
      <c r="AA66" s="636">
        <v>2.9449830992793675</v>
      </c>
      <c r="AB66" s="618">
        <v>2.7436211167491549</v>
      </c>
      <c r="AC66" s="614">
        <v>2.2412159795151148</v>
      </c>
      <c r="AD66" s="637">
        <v>2.8567500000000003</v>
      </c>
      <c r="AE66" s="638">
        <v>2.7090000000000001</v>
      </c>
      <c r="AF66" s="614">
        <v>2.30375</v>
      </c>
      <c r="AG66" s="636">
        <v>3.4518425402033559</v>
      </c>
      <c r="AH66" s="618">
        <v>3.224232744743051</v>
      </c>
      <c r="AI66" s="614">
        <v>2.7396838158907384</v>
      </c>
      <c r="AL66" s="570" t="s">
        <v>101</v>
      </c>
      <c r="AM66" s="636">
        <v>2.9766027592784012</v>
      </c>
      <c r="AN66" s="618">
        <v>2.7840982323762322</v>
      </c>
      <c r="AO66" s="614">
        <v>2.2764553507791208</v>
      </c>
      <c r="AP66" s="637">
        <v>3.02475</v>
      </c>
      <c r="AQ66" s="638">
        <v>2.8042499999999997</v>
      </c>
      <c r="AR66" s="614">
        <v>2.4322499999999998</v>
      </c>
      <c r="AS66" s="636">
        <v>3.7177429217510172</v>
      </c>
      <c r="AT66" s="618">
        <v>3.4237221950957113</v>
      </c>
      <c r="AU66" s="614">
        <v>2.9025152017190572</v>
      </c>
      <c r="AX66" s="570" t="s">
        <v>101</v>
      </c>
      <c r="AY66" s="636">
        <v>4.1865118970571205</v>
      </c>
      <c r="AZ66" s="618">
        <v>3.9919098207043304</v>
      </c>
      <c r="BA66" s="614">
        <v>3.7176663755190114</v>
      </c>
      <c r="BB66" s="637">
        <v>4.2510000000000003</v>
      </c>
      <c r="BC66" s="638">
        <v>3.9862000000000002</v>
      </c>
      <c r="BD66" s="614">
        <v>3.8507999999999996</v>
      </c>
      <c r="BE66" s="636">
        <v>4.833707563052446</v>
      </c>
      <c r="BF66" s="618">
        <v>4.5530742573064007</v>
      </c>
      <c r="BG66" s="614">
        <v>4.201796475699572</v>
      </c>
      <c r="BJ66" s="570" t="s">
        <v>101</v>
      </c>
      <c r="BK66" s="636">
        <v>3.3325</v>
      </c>
      <c r="BL66" s="618">
        <v>3.2124999999999999</v>
      </c>
      <c r="BM66" s="614">
        <v>2.7974999999999999</v>
      </c>
      <c r="BN66" s="637">
        <v>3.34</v>
      </c>
      <c r="BO66" s="638">
        <v>3.2</v>
      </c>
      <c r="BP66" s="614">
        <v>3.0325000000000002</v>
      </c>
      <c r="BQ66" s="636">
        <v>3.6780750000000002</v>
      </c>
      <c r="BR66" s="618">
        <v>3.4442499999999998</v>
      </c>
      <c r="BS66" s="614">
        <v>3.180275</v>
      </c>
      <c r="BV66" s="570" t="s">
        <v>101</v>
      </c>
      <c r="BW66" s="636">
        <v>3.26</v>
      </c>
      <c r="BX66" s="618">
        <v>3.14</v>
      </c>
      <c r="BY66" s="614">
        <v>2.68</v>
      </c>
      <c r="BZ66" s="637">
        <v>3.23</v>
      </c>
      <c r="CA66" s="638">
        <v>3.05</v>
      </c>
      <c r="CB66" s="614">
        <v>2.75</v>
      </c>
      <c r="CC66" s="636">
        <v>3.44</v>
      </c>
      <c r="CD66" s="618">
        <v>3.25</v>
      </c>
      <c r="CE66" s="614">
        <v>2.86</v>
      </c>
    </row>
    <row r="67" spans="2:83" ht="15" customHeight="1" x14ac:dyDescent="0.25">
      <c r="B67" s="570" t="s">
        <v>95</v>
      </c>
      <c r="C67" s="636">
        <v>3.5814934730693793</v>
      </c>
      <c r="D67" s="618">
        <v>3.8506465961378415</v>
      </c>
      <c r="E67" s="614">
        <v>3.1327430024676923</v>
      </c>
      <c r="F67" s="637">
        <v>3.7079999999999997</v>
      </c>
      <c r="G67" s="638">
        <v>3.4840000000000004</v>
      </c>
      <c r="H67" s="614">
        <v>3.4259999999999997</v>
      </c>
      <c r="I67" s="636">
        <v>4.2039448629608973</v>
      </c>
      <c r="J67" s="618">
        <v>3.996</v>
      </c>
      <c r="K67" s="614">
        <v>3.6388999065363214</v>
      </c>
      <c r="N67" s="570" t="s">
        <v>95</v>
      </c>
      <c r="O67" s="636">
        <v>3.38</v>
      </c>
      <c r="P67" s="618">
        <v>3.0306728128316416</v>
      </c>
      <c r="Q67" s="614">
        <v>2.6011826832504452</v>
      </c>
      <c r="R67" s="637">
        <v>3.2439999999999998</v>
      </c>
      <c r="S67" s="638">
        <v>2.9680000000000004</v>
      </c>
      <c r="T67" s="614">
        <v>2.706</v>
      </c>
      <c r="U67" s="636">
        <v>3.842999853119212</v>
      </c>
      <c r="V67" s="618">
        <v>2.9680000000000004</v>
      </c>
      <c r="W67" s="614">
        <v>3.1393205486111762</v>
      </c>
      <c r="Z67" s="570" t="s">
        <v>95</v>
      </c>
      <c r="AA67" s="636">
        <v>3.0058462294881143</v>
      </c>
      <c r="AB67" s="618">
        <v>2.8074319368053362</v>
      </c>
      <c r="AC67" s="614">
        <v>2.3431458543022257</v>
      </c>
      <c r="AD67" s="637">
        <v>2.9260000000000002</v>
      </c>
      <c r="AE67" s="638">
        <v>2.7199999999999998</v>
      </c>
      <c r="AF67" s="614">
        <v>2.3559999999999999</v>
      </c>
      <c r="AG67" s="636">
        <v>3.4981946031137667</v>
      </c>
      <c r="AH67" s="618">
        <v>3.2439827553219152</v>
      </c>
      <c r="AI67" s="614">
        <v>2.7924782407988937</v>
      </c>
      <c r="AL67" s="570" t="s">
        <v>95</v>
      </c>
      <c r="AM67" s="636">
        <v>2.8622120776115532</v>
      </c>
      <c r="AN67" s="618">
        <v>2.668985555549078</v>
      </c>
      <c r="AO67" s="614">
        <v>2.2965836544926006</v>
      </c>
      <c r="AP67" s="637">
        <v>2.8114999999999997</v>
      </c>
      <c r="AQ67" s="638">
        <v>2.6189999999999998</v>
      </c>
      <c r="AR67" s="614">
        <v>2.4452499999999997</v>
      </c>
      <c r="AS67" s="636">
        <v>3.5466939354604383</v>
      </c>
      <c r="AT67" s="618">
        <v>3.2630402489870982</v>
      </c>
      <c r="AU67" s="614">
        <v>2.8814210948336205</v>
      </c>
      <c r="AX67" s="570" t="s">
        <v>95</v>
      </c>
      <c r="AY67" s="636">
        <v>3.9848505327476391</v>
      </c>
      <c r="AZ67" s="618">
        <v>3.7881068598045164</v>
      </c>
      <c r="BA67" s="614">
        <v>3.5092102624342609</v>
      </c>
      <c r="BB67" s="637">
        <v>4.2227499999999996</v>
      </c>
      <c r="BC67" s="638">
        <v>3.8054999999999999</v>
      </c>
      <c r="BD67" s="614">
        <v>3.6727500000000002</v>
      </c>
      <c r="BE67" s="636">
        <v>4.7399651508613028</v>
      </c>
      <c r="BF67" s="618">
        <v>4.3744348211237529</v>
      </c>
      <c r="BG67" s="614">
        <v>4.0268027944531006</v>
      </c>
      <c r="BJ67" s="570" t="s">
        <v>95</v>
      </c>
      <c r="BK67" s="636">
        <v>3.51</v>
      </c>
      <c r="BL67" s="618">
        <v>3.3849999999999998</v>
      </c>
      <c r="BM67" s="614">
        <v>3.02</v>
      </c>
      <c r="BN67" s="637">
        <v>3.4962500000000003</v>
      </c>
      <c r="BO67" s="638">
        <v>3.3152499999999998</v>
      </c>
      <c r="BP67" s="614">
        <v>3.1760000000000002</v>
      </c>
      <c r="BQ67" s="636">
        <v>3.79305</v>
      </c>
      <c r="BR67" s="618">
        <v>3.54305</v>
      </c>
      <c r="BS67" s="614">
        <v>3.3058749999999999</v>
      </c>
      <c r="BV67" s="570" t="s">
        <v>95</v>
      </c>
      <c r="BW67" s="636">
        <v>3.12</v>
      </c>
      <c r="BX67" s="618">
        <v>3.01</v>
      </c>
      <c r="BY67" s="614">
        <v>2.56</v>
      </c>
      <c r="BZ67" s="637">
        <v>3.16</v>
      </c>
      <c r="CA67" s="638">
        <v>2.97</v>
      </c>
      <c r="CB67" s="614">
        <v>2.73</v>
      </c>
      <c r="CC67" s="636">
        <v>3.39</v>
      </c>
      <c r="CD67" s="618">
        <v>3.19</v>
      </c>
      <c r="CE67" s="614">
        <v>2.85</v>
      </c>
    </row>
    <row r="68" spans="2:83" ht="15" customHeight="1" x14ac:dyDescent="0.25">
      <c r="B68" s="570" t="s">
        <v>96</v>
      </c>
      <c r="C68" s="636">
        <v>3.354297983967113</v>
      </c>
      <c r="D68" s="618">
        <v>3.7082644128900561</v>
      </c>
      <c r="E68" s="614">
        <v>3.0128173577668473</v>
      </c>
      <c r="F68" s="637">
        <v>3.52</v>
      </c>
      <c r="G68" s="638">
        <v>3.2949999999999999</v>
      </c>
      <c r="H68" s="614">
        <v>3.3349999999999995</v>
      </c>
      <c r="I68" s="636">
        <v>4.0587489456132966</v>
      </c>
      <c r="J68" s="618">
        <v>3.8824999999999998</v>
      </c>
      <c r="K68" s="614">
        <v>3.5970804902086924</v>
      </c>
      <c r="N68" s="570" t="s">
        <v>96</v>
      </c>
      <c r="O68" s="636">
        <v>3.31</v>
      </c>
      <c r="P68" s="618">
        <v>3.1536378462305139</v>
      </c>
      <c r="Q68" s="614">
        <v>2.6999535900618223</v>
      </c>
      <c r="R68" s="637">
        <v>3.1875</v>
      </c>
      <c r="S68" s="638">
        <v>2.9874999999999998</v>
      </c>
      <c r="T68" s="614">
        <v>2.79</v>
      </c>
      <c r="U68" s="636">
        <v>3.8085979639586132</v>
      </c>
      <c r="V68" s="618">
        <v>2.9874999999999998</v>
      </c>
      <c r="W68" s="614">
        <v>3.1366906801942083</v>
      </c>
      <c r="Z68" s="570" t="s">
        <v>96</v>
      </c>
      <c r="AA68" s="636">
        <v>2.9098066466097805</v>
      </c>
      <c r="AB68" s="618">
        <v>2.7110005600569087</v>
      </c>
      <c r="AC68" s="614">
        <v>2.2877310697793765</v>
      </c>
      <c r="AD68" s="637">
        <v>2.8800000000000003</v>
      </c>
      <c r="AE68" s="638">
        <v>2.67</v>
      </c>
      <c r="AF68" s="614">
        <v>2.3649999999999998</v>
      </c>
      <c r="AG68" s="636">
        <v>3.4937672001955122</v>
      </c>
      <c r="AH68" s="618">
        <v>3.2378223533458419</v>
      </c>
      <c r="AI68" s="614">
        <v>2.828407899958882</v>
      </c>
      <c r="AL68" s="570" t="s">
        <v>96</v>
      </c>
      <c r="AM68" s="636">
        <v>2.7929929855056423</v>
      </c>
      <c r="AN68" s="618">
        <v>2.5996414711407705</v>
      </c>
      <c r="AO68" s="614">
        <v>2.2701160038248944</v>
      </c>
      <c r="AP68" s="637">
        <v>2.7577500000000001</v>
      </c>
      <c r="AQ68" s="638">
        <v>2.5505</v>
      </c>
      <c r="AR68" s="614">
        <v>2.41275</v>
      </c>
      <c r="AS68" s="636">
        <v>3.4906983926848096</v>
      </c>
      <c r="AT68" s="618">
        <v>3.2034866256040844</v>
      </c>
      <c r="AU68" s="614">
        <v>2.8551642945280902</v>
      </c>
      <c r="AX68" s="570" t="s">
        <v>96</v>
      </c>
      <c r="AY68" s="636">
        <v>3.7525992593711996</v>
      </c>
      <c r="AZ68" s="618">
        <v>3.5532092751424327</v>
      </c>
      <c r="BA68" s="614">
        <v>3.2973616379121129</v>
      </c>
      <c r="BB68" s="637">
        <v>3.82</v>
      </c>
      <c r="BC68" s="638">
        <v>3.4170000000000003</v>
      </c>
      <c r="BD68" s="614">
        <v>3.4435000000000002</v>
      </c>
      <c r="BE68" s="636">
        <v>4.4459840213487354</v>
      </c>
      <c r="BF68" s="618">
        <v>4.0464338825281025</v>
      </c>
      <c r="BG68" s="614">
        <v>3.8292875035338971</v>
      </c>
      <c r="BJ68" s="570" t="s">
        <v>96</v>
      </c>
      <c r="BK68" s="636">
        <v>3.5519999999999996</v>
      </c>
      <c r="BL68" s="618">
        <v>3.4299999999999997</v>
      </c>
      <c r="BM68" s="614">
        <v>3.1399999999999997</v>
      </c>
      <c r="BN68" s="637">
        <v>3.6112000000000002</v>
      </c>
      <c r="BO68" s="638">
        <v>3.4042000000000003</v>
      </c>
      <c r="BP68" s="614">
        <v>3.2982</v>
      </c>
      <c r="BQ68" s="636">
        <v>3.8810000000000002</v>
      </c>
      <c r="BR68" s="618">
        <v>3.6073</v>
      </c>
      <c r="BS68" s="614">
        <v>3.4164400000000001</v>
      </c>
      <c r="BV68" s="570" t="s">
        <v>96</v>
      </c>
      <c r="BW68" s="636">
        <v>3.33</v>
      </c>
      <c r="BX68" s="618">
        <v>3.21</v>
      </c>
      <c r="BY68" s="614">
        <v>2.81</v>
      </c>
      <c r="BZ68" s="637">
        <v>3.34</v>
      </c>
      <c r="CA68" s="638">
        <v>3.17</v>
      </c>
      <c r="CB68" s="614">
        <v>2.94</v>
      </c>
      <c r="CC68" s="636">
        <v>3.55</v>
      </c>
      <c r="CD68" s="618">
        <v>3.35</v>
      </c>
      <c r="CE68" s="614">
        <v>3.02</v>
      </c>
    </row>
    <row r="69" spans="2:83" ht="15" customHeight="1" thickBot="1" x14ac:dyDescent="0.3">
      <c r="B69" s="604" t="s">
        <v>146</v>
      </c>
      <c r="C69" s="639">
        <v>2.9889966753548194</v>
      </c>
      <c r="D69" s="640">
        <v>3.3691389324774148</v>
      </c>
      <c r="E69" s="641">
        <v>2.7134224882349272</v>
      </c>
      <c r="F69" s="642">
        <v>3.1339999999999999</v>
      </c>
      <c r="G69" s="643">
        <v>2.9140000000000006</v>
      </c>
      <c r="H69" s="641">
        <v>3.0054973767864985</v>
      </c>
      <c r="I69" s="639">
        <v>3.7255327885674254</v>
      </c>
      <c r="J69" s="640">
        <v>3.4119999999999999</v>
      </c>
      <c r="K69" s="641">
        <v>3.3391062018446105</v>
      </c>
      <c r="N69" s="604" t="s">
        <v>146</v>
      </c>
      <c r="O69" s="639">
        <v>3.29</v>
      </c>
      <c r="P69" s="640">
        <v>3.1420320771452586</v>
      </c>
      <c r="Q69" s="641">
        <v>2.7681772026870592</v>
      </c>
      <c r="R69" s="642">
        <v>3.24</v>
      </c>
      <c r="S69" s="643">
        <v>3.085</v>
      </c>
      <c r="T69" s="641">
        <v>2.8800000000000003</v>
      </c>
      <c r="U69" s="639">
        <v>3.8112690544916279</v>
      </c>
      <c r="V69" s="640">
        <v>3.085</v>
      </c>
      <c r="W69" s="641">
        <v>3.1394291980693132</v>
      </c>
      <c r="Z69" s="604" t="s">
        <v>146</v>
      </c>
      <c r="AA69" s="639">
        <v>3.0214666386342142</v>
      </c>
      <c r="AB69" s="640">
        <v>2.8228624565932465</v>
      </c>
      <c r="AC69" s="641">
        <v>2.4106470991411317</v>
      </c>
      <c r="AD69" s="642">
        <v>2.8775000000000004</v>
      </c>
      <c r="AE69" s="643">
        <v>2.6500000000000004</v>
      </c>
      <c r="AF69" s="641">
        <v>2.3450000000000002</v>
      </c>
      <c r="AG69" s="639">
        <v>3.5179909970035603</v>
      </c>
      <c r="AH69" s="640">
        <v>3.1511733538319464</v>
      </c>
      <c r="AI69" s="641">
        <v>2.8341175621442134</v>
      </c>
      <c r="AL69" s="604" t="s">
        <v>146</v>
      </c>
      <c r="AM69" s="639">
        <v>2.656555226473849</v>
      </c>
      <c r="AN69" s="640">
        <v>2.4621825148194434</v>
      </c>
      <c r="AO69" s="641">
        <v>2.0892552217908777</v>
      </c>
      <c r="AP69" s="642">
        <v>2.6479999999999997</v>
      </c>
      <c r="AQ69" s="643">
        <v>2.4729999999999999</v>
      </c>
      <c r="AR69" s="641">
        <v>2.2357499999999999</v>
      </c>
      <c r="AS69" s="639">
        <v>3.4153466914214441</v>
      </c>
      <c r="AT69" s="640">
        <v>3.1409388021523235</v>
      </c>
      <c r="AU69" s="641">
        <v>2.7395516384761054</v>
      </c>
      <c r="AX69" s="604" t="s">
        <v>146</v>
      </c>
      <c r="AY69" s="639">
        <v>3.2832541286252335</v>
      </c>
      <c r="AZ69" s="640">
        <v>3.0944282615527565</v>
      </c>
      <c r="BA69" s="641">
        <v>2.919854368956512</v>
      </c>
      <c r="BB69" s="642">
        <v>3.2340000000000004</v>
      </c>
      <c r="BC69" s="643">
        <v>3.0222000000000002</v>
      </c>
      <c r="BD69" s="641">
        <v>3.093</v>
      </c>
      <c r="BE69" s="639">
        <v>4.0341976639495112</v>
      </c>
      <c r="BF69" s="640">
        <v>3.6976927124766634</v>
      </c>
      <c r="BG69" s="641">
        <v>3.5061407641546198</v>
      </c>
      <c r="BJ69" s="604" t="s">
        <v>146</v>
      </c>
      <c r="BK69" s="639">
        <v>3.69</v>
      </c>
      <c r="BL69" s="640">
        <v>3.5650000000000004</v>
      </c>
      <c r="BM69" s="641">
        <v>3.3425000000000002</v>
      </c>
      <c r="BN69" s="642">
        <v>3.7530000000000001</v>
      </c>
      <c r="BO69" s="643">
        <v>3.56575</v>
      </c>
      <c r="BP69" s="641">
        <v>3.407</v>
      </c>
      <c r="BQ69" s="639">
        <v>3.9913249999999998</v>
      </c>
      <c r="BR69" s="640">
        <v>3.7293250000000002</v>
      </c>
      <c r="BS69" s="641">
        <v>3.4998250000000004</v>
      </c>
      <c r="BV69" s="604" t="s">
        <v>146</v>
      </c>
      <c r="BW69" s="639">
        <v>3.29</v>
      </c>
      <c r="BX69" s="640">
        <v>3.17</v>
      </c>
      <c r="BY69" s="641">
        <v>2.82</v>
      </c>
      <c r="BZ69" s="642">
        <v>3.32</v>
      </c>
      <c r="CA69" s="643">
        <v>3.18</v>
      </c>
      <c r="CB69" s="641">
        <v>2.94</v>
      </c>
      <c r="CC69" s="639">
        <v>3.55</v>
      </c>
      <c r="CD69" s="640">
        <v>3.35</v>
      </c>
      <c r="CE69" s="641">
        <v>3.03</v>
      </c>
    </row>
    <row r="70" spans="2:83" ht="15" customHeight="1" thickBot="1" x14ac:dyDescent="0.3">
      <c r="B70" s="597" t="s">
        <v>147</v>
      </c>
      <c r="C70" s="644">
        <f t="shared" ref="C70:K70" si="4">AVERAGE(C58:C69)</f>
        <v>3.4714790983797479</v>
      </c>
      <c r="D70" s="610">
        <f t="shared" si="4"/>
        <v>3.6920740508268195</v>
      </c>
      <c r="E70" s="611">
        <f t="shared" si="4"/>
        <v>2.9036726121777581</v>
      </c>
      <c r="F70" s="644">
        <f t="shared" si="4"/>
        <v>3.5318166666666664</v>
      </c>
      <c r="G70" s="610">
        <f t="shared" si="4"/>
        <v>3.3127166666666668</v>
      </c>
      <c r="H70" s="611">
        <f t="shared" si="4"/>
        <v>3.1785872813988747</v>
      </c>
      <c r="I70" s="644">
        <f t="shared" si="4"/>
        <v>4.0400613380586652</v>
      </c>
      <c r="J70" s="610">
        <f t="shared" si="4"/>
        <v>3.8337083333333335</v>
      </c>
      <c r="K70" s="611">
        <f t="shared" si="4"/>
        <v>3.4388805855095739</v>
      </c>
      <c r="N70" s="597" t="s">
        <v>147</v>
      </c>
      <c r="O70" s="644">
        <f t="shared" ref="O70:W70" si="5">AVERAGE(O58:O69)</f>
        <v>3.3283333333333331</v>
      </c>
      <c r="P70" s="610">
        <f t="shared" si="5"/>
        <v>2.9799891917412715</v>
      </c>
      <c r="Q70" s="611">
        <f t="shared" si="5"/>
        <v>2.4493857277582949</v>
      </c>
      <c r="R70" s="644">
        <f t="shared" si="5"/>
        <v>3.105479166666667</v>
      </c>
      <c r="S70" s="610">
        <f t="shared" si="5"/>
        <v>2.8948125</v>
      </c>
      <c r="T70" s="611">
        <f t="shared" si="5"/>
        <v>2.5746874999999996</v>
      </c>
      <c r="U70" s="644">
        <f t="shared" si="5"/>
        <v>3.7236710962857491</v>
      </c>
      <c r="V70" s="610">
        <f t="shared" si="5"/>
        <v>2.8948125</v>
      </c>
      <c r="W70" s="611">
        <f t="shared" si="5"/>
        <v>2.9911153894879292</v>
      </c>
      <c r="Z70" s="597" t="s">
        <v>147</v>
      </c>
      <c r="AA70" s="644">
        <f t="shared" ref="AA70:AI70" si="6">AVERAGE(AA58:AA69)</f>
        <v>2.8227443605597071</v>
      </c>
      <c r="AB70" s="610">
        <f t="shared" si="6"/>
        <v>2.6273554060122968</v>
      </c>
      <c r="AC70" s="611">
        <f t="shared" si="6"/>
        <v>2.1092864309766206</v>
      </c>
      <c r="AD70" s="644">
        <f t="shared" si="6"/>
        <v>2.7711749999999999</v>
      </c>
      <c r="AE70" s="610">
        <f t="shared" si="6"/>
        <v>2.5824333333333329</v>
      </c>
      <c r="AF70" s="611">
        <f t="shared" si="6"/>
        <v>2.1847583333333334</v>
      </c>
      <c r="AG70" s="644">
        <f t="shared" si="6"/>
        <v>3.4213600282481118</v>
      </c>
      <c r="AH70" s="610">
        <f t="shared" si="6"/>
        <v>3.161576083310393</v>
      </c>
      <c r="AI70" s="611">
        <f t="shared" si="6"/>
        <v>2.6670177687992527</v>
      </c>
      <c r="AL70" s="597" t="s">
        <v>147</v>
      </c>
      <c r="AM70" s="644">
        <f t="shared" ref="AM70:AU70" si="7">AVERAGE(AM58:AM69)</f>
        <v>3.069059812213935</v>
      </c>
      <c r="AN70" s="610">
        <f t="shared" si="7"/>
        <v>2.8750141909113744</v>
      </c>
      <c r="AO70" s="611">
        <f t="shared" si="7"/>
        <v>2.464861518863525</v>
      </c>
      <c r="AP70" s="644">
        <f t="shared" si="7"/>
        <v>3.1259583333333332</v>
      </c>
      <c r="AQ70" s="610">
        <f t="shared" si="7"/>
        <v>2.8592708333333334</v>
      </c>
      <c r="AR70" s="611">
        <f t="shared" si="7"/>
        <v>2.6180833333333329</v>
      </c>
      <c r="AS70" s="644">
        <f t="shared" si="7"/>
        <v>3.8004454534839964</v>
      </c>
      <c r="AT70" s="610">
        <f t="shared" si="7"/>
        <v>3.4908851424514027</v>
      </c>
      <c r="AU70" s="611">
        <f t="shared" si="7"/>
        <v>3.0573910091488066</v>
      </c>
      <c r="AX70" s="597" t="s">
        <v>147</v>
      </c>
      <c r="AY70" s="644">
        <f t="shared" ref="AY70:BG70" si="8">AVERAGE(AY58:AY69)</f>
        <v>4.1802492362669543</v>
      </c>
      <c r="AZ70" s="610">
        <f t="shared" si="8"/>
        <v>3.9873141478947876</v>
      </c>
      <c r="BA70" s="611">
        <f t="shared" si="8"/>
        <v>3.7254328942562656</v>
      </c>
      <c r="BB70" s="644">
        <f t="shared" si="8"/>
        <v>4.2288458333333336</v>
      </c>
      <c r="BC70" s="610">
        <f t="shared" si="8"/>
        <v>3.9185763888888889</v>
      </c>
      <c r="BD70" s="611">
        <f t="shared" si="8"/>
        <v>3.8528930555555561</v>
      </c>
      <c r="BE70" s="644">
        <f t="shared" si="8"/>
        <v>4.8342178381914298</v>
      </c>
      <c r="BF70" s="610">
        <f t="shared" si="8"/>
        <v>4.4930189712317423</v>
      </c>
      <c r="BG70" s="611">
        <f t="shared" si="8"/>
        <v>4.193078481038131</v>
      </c>
      <c r="BJ70" s="597" t="s">
        <v>147</v>
      </c>
      <c r="BK70" s="644">
        <f t="shared" ref="BK70:BS70" si="9">AVERAGE(BK58:BK69)</f>
        <v>3.5093912581582014</v>
      </c>
      <c r="BL70" s="610">
        <f t="shared" si="9"/>
        <v>3.3857942084390475</v>
      </c>
      <c r="BM70" s="611">
        <f t="shared" si="9"/>
        <v>2.9788614752971516</v>
      </c>
      <c r="BN70" s="644">
        <f t="shared" si="9"/>
        <v>3.5047875000000004</v>
      </c>
      <c r="BO70" s="610">
        <f t="shared" si="9"/>
        <v>3.3277666666666672</v>
      </c>
      <c r="BP70" s="611">
        <f t="shared" si="9"/>
        <v>3.0955999999999997</v>
      </c>
      <c r="BQ70" s="644">
        <f t="shared" si="9"/>
        <v>3.7800870833333335</v>
      </c>
      <c r="BR70" s="610">
        <f t="shared" si="9"/>
        <v>3.5286212500000005</v>
      </c>
      <c r="BS70" s="611">
        <f t="shared" si="9"/>
        <v>3.21393</v>
      </c>
      <c r="BV70" s="597" t="s">
        <v>147</v>
      </c>
      <c r="BW70" s="644">
        <f t="shared" ref="BW70:CE70" si="10">AVERAGE(BW58:BW69)</f>
        <v>3.0133333333333336</v>
      </c>
      <c r="BX70" s="610">
        <f t="shared" si="10"/>
        <v>2.8975000000000004</v>
      </c>
      <c r="BY70" s="611">
        <f t="shared" si="10"/>
        <v>2.4766666666666666</v>
      </c>
      <c r="BZ70" s="644">
        <f t="shared" si="10"/>
        <v>3.0033333333333334</v>
      </c>
      <c r="CA70" s="610">
        <f t="shared" si="10"/>
        <v>2.8108333333333331</v>
      </c>
      <c r="CB70" s="611">
        <f t="shared" si="10"/>
        <v>2.5416666666666674</v>
      </c>
      <c r="CC70" s="644">
        <f t="shared" si="10"/>
        <v>3.2083333333333335</v>
      </c>
      <c r="CD70" s="610">
        <f t="shared" si="10"/>
        <v>3.0091666666666672</v>
      </c>
      <c r="CE70" s="611">
        <f t="shared" si="10"/>
        <v>2.6549999999999998</v>
      </c>
    </row>
    <row r="71" spans="2:83" ht="15" customHeight="1" thickBot="1" x14ac:dyDescent="0.3">
      <c r="B71" s="9"/>
      <c r="C71" s="61"/>
      <c r="D71" s="61"/>
      <c r="E71" s="61"/>
      <c r="F71" s="61"/>
      <c r="G71" s="61"/>
      <c r="H71" s="61"/>
      <c r="I71" s="61"/>
      <c r="J71" s="61"/>
      <c r="K71" s="61"/>
      <c r="N71" s="9"/>
      <c r="O71" s="61"/>
      <c r="P71" s="61"/>
      <c r="Q71" s="61"/>
      <c r="R71" s="61"/>
      <c r="S71" s="61"/>
      <c r="T71" s="61"/>
      <c r="U71" s="61"/>
      <c r="V71" s="61"/>
      <c r="W71" s="61"/>
      <c r="Z71" s="9"/>
      <c r="AA71" s="61"/>
      <c r="AB71" s="61"/>
      <c r="AC71" s="61"/>
      <c r="AD71" s="61"/>
      <c r="AE71" s="61"/>
      <c r="AF71" s="61"/>
      <c r="AG71" s="61"/>
      <c r="AH71" s="61"/>
      <c r="AI71" s="61"/>
      <c r="AL71" s="9"/>
      <c r="AM71" s="61"/>
      <c r="AN71" s="61"/>
      <c r="AO71" s="61"/>
      <c r="AP71" s="61"/>
      <c r="AQ71" s="61"/>
      <c r="AR71" s="61"/>
      <c r="AS71" s="61"/>
      <c r="AT71" s="61"/>
      <c r="AU71" s="61"/>
      <c r="AX71" s="9"/>
      <c r="AY71" s="61"/>
      <c r="AZ71" s="61"/>
      <c r="BA71" s="61"/>
      <c r="BB71" s="61"/>
      <c r="BC71" s="61"/>
      <c r="BD71" s="61"/>
      <c r="BE71" s="61"/>
      <c r="BF71" s="61"/>
      <c r="BG71" s="61"/>
      <c r="BJ71" s="9"/>
      <c r="BK71" s="61"/>
      <c r="BL71" s="61"/>
      <c r="BM71" s="61"/>
      <c r="BN71" s="61"/>
      <c r="BO71" s="61"/>
      <c r="BP71" s="61"/>
      <c r="BQ71" s="61"/>
      <c r="BR71" s="61"/>
      <c r="BS71" s="61"/>
      <c r="BV71" s="9"/>
      <c r="BW71" s="61"/>
      <c r="BX71" s="61"/>
      <c r="BY71" s="61"/>
      <c r="BZ71" s="61"/>
      <c r="CA71" s="61"/>
      <c r="CB71" s="61"/>
      <c r="CC71" s="61"/>
      <c r="CD71" s="61"/>
      <c r="CE71" s="61"/>
    </row>
    <row r="72" spans="2:83" ht="15" customHeight="1" x14ac:dyDescent="0.25">
      <c r="B72" s="930" t="s">
        <v>100</v>
      </c>
      <c r="C72" s="916" t="s">
        <v>47</v>
      </c>
      <c r="D72" s="918"/>
      <c r="E72" s="917"/>
      <c r="F72" s="916" t="s">
        <v>43</v>
      </c>
      <c r="G72" s="918"/>
      <c r="H72" s="917"/>
      <c r="I72" s="916" t="s">
        <v>85</v>
      </c>
      <c r="J72" s="918"/>
      <c r="K72" s="917"/>
      <c r="N72" s="930" t="s">
        <v>100</v>
      </c>
      <c r="O72" s="916" t="s">
        <v>47</v>
      </c>
      <c r="P72" s="918"/>
      <c r="Q72" s="917"/>
      <c r="R72" s="916" t="s">
        <v>43</v>
      </c>
      <c r="S72" s="918"/>
      <c r="T72" s="917"/>
      <c r="U72" s="916" t="s">
        <v>85</v>
      </c>
      <c r="V72" s="918"/>
      <c r="W72" s="917"/>
      <c r="Z72" s="930" t="s">
        <v>100</v>
      </c>
      <c r="AA72" s="916" t="s">
        <v>47</v>
      </c>
      <c r="AB72" s="918"/>
      <c r="AC72" s="917"/>
      <c r="AD72" s="916" t="s">
        <v>43</v>
      </c>
      <c r="AE72" s="918"/>
      <c r="AF72" s="917"/>
      <c r="AG72" s="916" t="s">
        <v>85</v>
      </c>
      <c r="AH72" s="918"/>
      <c r="AI72" s="917"/>
      <c r="AL72" s="930" t="s">
        <v>100</v>
      </c>
      <c r="AM72" s="916" t="s">
        <v>47</v>
      </c>
      <c r="AN72" s="918"/>
      <c r="AO72" s="917"/>
      <c r="AP72" s="916" t="s">
        <v>43</v>
      </c>
      <c r="AQ72" s="918"/>
      <c r="AR72" s="917"/>
      <c r="AS72" s="916" t="s">
        <v>85</v>
      </c>
      <c r="AT72" s="918"/>
      <c r="AU72" s="917"/>
      <c r="AX72" s="930" t="s">
        <v>100</v>
      </c>
      <c r="AY72" s="916" t="s">
        <v>47</v>
      </c>
      <c r="AZ72" s="918"/>
      <c r="BA72" s="917"/>
      <c r="BB72" s="916" t="s">
        <v>43</v>
      </c>
      <c r="BC72" s="918"/>
      <c r="BD72" s="917"/>
      <c r="BE72" s="916" t="s">
        <v>85</v>
      </c>
      <c r="BF72" s="918"/>
      <c r="BG72" s="917"/>
      <c r="BJ72" s="930" t="s">
        <v>100</v>
      </c>
      <c r="BK72" s="916" t="s">
        <v>47</v>
      </c>
      <c r="BL72" s="918"/>
      <c r="BM72" s="917"/>
      <c r="BN72" s="916" t="s">
        <v>43</v>
      </c>
      <c r="BO72" s="918"/>
      <c r="BP72" s="917"/>
      <c r="BQ72" s="916" t="s">
        <v>85</v>
      </c>
      <c r="BR72" s="918"/>
      <c r="BS72" s="917"/>
      <c r="BV72" s="930" t="s">
        <v>100</v>
      </c>
      <c r="BW72" s="916" t="s">
        <v>47</v>
      </c>
      <c r="BX72" s="918"/>
      <c r="BY72" s="917"/>
      <c r="BZ72" s="916" t="s">
        <v>43</v>
      </c>
      <c r="CA72" s="918"/>
      <c r="CB72" s="917"/>
      <c r="CC72" s="916" t="s">
        <v>85</v>
      </c>
      <c r="CD72" s="918"/>
      <c r="CE72" s="917"/>
    </row>
    <row r="73" spans="2:83" ht="15" customHeight="1" x14ac:dyDescent="0.25">
      <c r="B73" s="975"/>
      <c r="C73" s="964" t="s">
        <v>273</v>
      </c>
      <c r="D73" s="967" t="s">
        <v>274</v>
      </c>
      <c r="E73" s="970" t="s">
        <v>34</v>
      </c>
      <c r="F73" s="964" t="s">
        <v>273</v>
      </c>
      <c r="G73" s="967" t="s">
        <v>274</v>
      </c>
      <c r="H73" s="970" t="s">
        <v>34</v>
      </c>
      <c r="I73" s="964" t="s">
        <v>164</v>
      </c>
      <c r="J73" s="967" t="s">
        <v>165</v>
      </c>
      <c r="K73" s="970" t="s">
        <v>34</v>
      </c>
      <c r="N73" s="975"/>
      <c r="O73" s="964" t="s">
        <v>273</v>
      </c>
      <c r="P73" s="967" t="s">
        <v>274</v>
      </c>
      <c r="Q73" s="970" t="s">
        <v>34</v>
      </c>
      <c r="R73" s="964" t="s">
        <v>273</v>
      </c>
      <c r="S73" s="967" t="s">
        <v>274</v>
      </c>
      <c r="T73" s="970" t="s">
        <v>34</v>
      </c>
      <c r="U73" s="964" t="s">
        <v>164</v>
      </c>
      <c r="V73" s="967" t="s">
        <v>165</v>
      </c>
      <c r="W73" s="970" t="s">
        <v>34</v>
      </c>
      <c r="Z73" s="975"/>
      <c r="AA73" s="964" t="s">
        <v>273</v>
      </c>
      <c r="AB73" s="967" t="s">
        <v>274</v>
      </c>
      <c r="AC73" s="970" t="s">
        <v>34</v>
      </c>
      <c r="AD73" s="964" t="s">
        <v>273</v>
      </c>
      <c r="AE73" s="967" t="s">
        <v>274</v>
      </c>
      <c r="AF73" s="970" t="s">
        <v>34</v>
      </c>
      <c r="AG73" s="964" t="s">
        <v>164</v>
      </c>
      <c r="AH73" s="967" t="s">
        <v>165</v>
      </c>
      <c r="AI73" s="970" t="s">
        <v>34</v>
      </c>
      <c r="AL73" s="975"/>
      <c r="AM73" s="964" t="s">
        <v>273</v>
      </c>
      <c r="AN73" s="967" t="s">
        <v>274</v>
      </c>
      <c r="AO73" s="970" t="s">
        <v>34</v>
      </c>
      <c r="AP73" s="964" t="s">
        <v>273</v>
      </c>
      <c r="AQ73" s="967" t="s">
        <v>274</v>
      </c>
      <c r="AR73" s="970" t="s">
        <v>34</v>
      </c>
      <c r="AS73" s="964" t="s">
        <v>164</v>
      </c>
      <c r="AT73" s="967" t="s">
        <v>165</v>
      </c>
      <c r="AU73" s="970" t="s">
        <v>34</v>
      </c>
      <c r="AX73" s="975"/>
      <c r="AY73" s="964" t="s">
        <v>273</v>
      </c>
      <c r="AZ73" s="967" t="s">
        <v>274</v>
      </c>
      <c r="BA73" s="970" t="s">
        <v>34</v>
      </c>
      <c r="BB73" s="964" t="s">
        <v>273</v>
      </c>
      <c r="BC73" s="967" t="s">
        <v>274</v>
      </c>
      <c r="BD73" s="970" t="s">
        <v>34</v>
      </c>
      <c r="BE73" s="964" t="s">
        <v>164</v>
      </c>
      <c r="BF73" s="967" t="s">
        <v>165</v>
      </c>
      <c r="BG73" s="970" t="s">
        <v>34</v>
      </c>
      <c r="BJ73" s="975"/>
      <c r="BK73" s="964" t="s">
        <v>273</v>
      </c>
      <c r="BL73" s="967" t="s">
        <v>274</v>
      </c>
      <c r="BM73" s="970" t="s">
        <v>34</v>
      </c>
      <c r="BN73" s="964" t="s">
        <v>273</v>
      </c>
      <c r="BO73" s="967" t="s">
        <v>274</v>
      </c>
      <c r="BP73" s="970" t="s">
        <v>34</v>
      </c>
      <c r="BQ73" s="964" t="s">
        <v>164</v>
      </c>
      <c r="BR73" s="967" t="s">
        <v>165</v>
      </c>
      <c r="BS73" s="970" t="s">
        <v>34</v>
      </c>
      <c r="BV73" s="975"/>
      <c r="BW73" s="964" t="s">
        <v>273</v>
      </c>
      <c r="BX73" s="967" t="s">
        <v>274</v>
      </c>
      <c r="BY73" s="970" t="s">
        <v>34</v>
      </c>
      <c r="BZ73" s="964" t="s">
        <v>273</v>
      </c>
      <c r="CA73" s="967" t="s">
        <v>274</v>
      </c>
      <c r="CB73" s="970" t="s">
        <v>34</v>
      </c>
      <c r="CC73" s="964" t="s">
        <v>164</v>
      </c>
      <c r="CD73" s="967" t="s">
        <v>165</v>
      </c>
      <c r="CE73" s="970" t="s">
        <v>34</v>
      </c>
    </row>
    <row r="74" spans="2:83" ht="15" customHeight="1" x14ac:dyDescent="0.25">
      <c r="B74" s="976"/>
      <c r="C74" s="965"/>
      <c r="D74" s="968"/>
      <c r="E74" s="971"/>
      <c r="F74" s="965"/>
      <c r="G74" s="968"/>
      <c r="H74" s="971"/>
      <c r="I74" s="965"/>
      <c r="J74" s="968"/>
      <c r="K74" s="973"/>
      <c r="N74" s="976"/>
      <c r="O74" s="965"/>
      <c r="P74" s="968"/>
      <c r="Q74" s="971"/>
      <c r="R74" s="965"/>
      <c r="S74" s="968"/>
      <c r="T74" s="971"/>
      <c r="U74" s="965"/>
      <c r="V74" s="968"/>
      <c r="W74" s="973"/>
      <c r="Z74" s="976"/>
      <c r="AA74" s="965"/>
      <c r="AB74" s="968"/>
      <c r="AC74" s="971"/>
      <c r="AD74" s="965"/>
      <c r="AE74" s="968"/>
      <c r="AF74" s="971"/>
      <c r="AG74" s="965"/>
      <c r="AH74" s="968"/>
      <c r="AI74" s="973"/>
      <c r="AL74" s="976"/>
      <c r="AM74" s="965"/>
      <c r="AN74" s="968"/>
      <c r="AO74" s="971"/>
      <c r="AP74" s="965"/>
      <c r="AQ74" s="968"/>
      <c r="AR74" s="971"/>
      <c r="AS74" s="965"/>
      <c r="AT74" s="968"/>
      <c r="AU74" s="973"/>
      <c r="AX74" s="976"/>
      <c r="AY74" s="965"/>
      <c r="AZ74" s="968"/>
      <c r="BA74" s="971"/>
      <c r="BB74" s="965"/>
      <c r="BC74" s="968"/>
      <c r="BD74" s="971"/>
      <c r="BE74" s="965"/>
      <c r="BF74" s="968"/>
      <c r="BG74" s="973"/>
      <c r="BJ74" s="976"/>
      <c r="BK74" s="965"/>
      <c r="BL74" s="968"/>
      <c r="BM74" s="971"/>
      <c r="BN74" s="965"/>
      <c r="BO74" s="968"/>
      <c r="BP74" s="971"/>
      <c r="BQ74" s="965"/>
      <c r="BR74" s="968"/>
      <c r="BS74" s="973"/>
      <c r="BV74" s="976"/>
      <c r="BW74" s="965"/>
      <c r="BX74" s="968"/>
      <c r="BY74" s="971"/>
      <c r="BZ74" s="965"/>
      <c r="CA74" s="968"/>
      <c r="CB74" s="971"/>
      <c r="CC74" s="965"/>
      <c r="CD74" s="968"/>
      <c r="CE74" s="973"/>
    </row>
    <row r="75" spans="2:83" ht="15" customHeight="1" thickBot="1" x14ac:dyDescent="0.3">
      <c r="B75" s="977"/>
      <c r="C75" s="966"/>
      <c r="D75" s="969"/>
      <c r="E75" s="972"/>
      <c r="F75" s="966"/>
      <c r="G75" s="969"/>
      <c r="H75" s="972"/>
      <c r="I75" s="966"/>
      <c r="J75" s="969"/>
      <c r="K75" s="974"/>
      <c r="N75" s="977"/>
      <c r="O75" s="966"/>
      <c r="P75" s="969"/>
      <c r="Q75" s="972"/>
      <c r="R75" s="966"/>
      <c r="S75" s="969"/>
      <c r="T75" s="972"/>
      <c r="U75" s="966"/>
      <c r="V75" s="969"/>
      <c r="W75" s="974"/>
      <c r="Z75" s="977"/>
      <c r="AA75" s="966"/>
      <c r="AB75" s="969"/>
      <c r="AC75" s="972"/>
      <c r="AD75" s="966"/>
      <c r="AE75" s="969"/>
      <c r="AF75" s="972"/>
      <c r="AG75" s="966"/>
      <c r="AH75" s="969"/>
      <c r="AI75" s="974"/>
      <c r="AL75" s="977"/>
      <c r="AM75" s="966"/>
      <c r="AN75" s="969"/>
      <c r="AO75" s="972"/>
      <c r="AP75" s="966"/>
      <c r="AQ75" s="969"/>
      <c r="AR75" s="972"/>
      <c r="AS75" s="966"/>
      <c r="AT75" s="969"/>
      <c r="AU75" s="974"/>
      <c r="AX75" s="977"/>
      <c r="AY75" s="966"/>
      <c r="AZ75" s="969"/>
      <c r="BA75" s="972"/>
      <c r="BB75" s="966"/>
      <c r="BC75" s="969"/>
      <c r="BD75" s="972"/>
      <c r="BE75" s="966"/>
      <c r="BF75" s="969"/>
      <c r="BG75" s="974"/>
      <c r="BJ75" s="977"/>
      <c r="BK75" s="966"/>
      <c r="BL75" s="969"/>
      <c r="BM75" s="972"/>
      <c r="BN75" s="966"/>
      <c r="BO75" s="969"/>
      <c r="BP75" s="972"/>
      <c r="BQ75" s="966"/>
      <c r="BR75" s="969"/>
      <c r="BS75" s="974"/>
      <c r="BV75" s="977"/>
      <c r="BW75" s="966"/>
      <c r="BX75" s="969"/>
      <c r="BY75" s="972"/>
      <c r="BZ75" s="966"/>
      <c r="CA75" s="969"/>
      <c r="CB75" s="972"/>
      <c r="CC75" s="966"/>
      <c r="CD75" s="969"/>
      <c r="CE75" s="974"/>
    </row>
    <row r="76" spans="2:83" ht="15" customHeight="1" x14ac:dyDescent="0.3">
      <c r="B76" s="606" t="s">
        <v>86</v>
      </c>
      <c r="C76" s="645">
        <v>3.8049999999999997</v>
      </c>
      <c r="D76" s="630">
        <v>2.9204453580000003</v>
      </c>
      <c r="E76" s="634">
        <v>3.34</v>
      </c>
      <c r="F76" s="632">
        <v>4.0055239842771009</v>
      </c>
      <c r="G76" s="633">
        <v>3.9299785588401157</v>
      </c>
      <c r="H76" s="634">
        <v>3.4064265443459583</v>
      </c>
      <c r="I76" s="495">
        <v>3.0661740000000002</v>
      </c>
      <c r="J76" s="724">
        <v>2.9526120000000002</v>
      </c>
      <c r="K76" s="211">
        <v>2.7633420000000002</v>
      </c>
      <c r="N76" s="606" t="s">
        <v>86</v>
      </c>
      <c r="O76" s="645">
        <v>3.6949999999999998</v>
      </c>
      <c r="P76" s="630">
        <v>3.5624999999999996</v>
      </c>
      <c r="Q76" s="634">
        <v>3.0349999999999997</v>
      </c>
      <c r="R76" s="632">
        <v>3.9469247748235001</v>
      </c>
      <c r="S76" s="633">
        <v>3.7217677124218169</v>
      </c>
      <c r="T76" s="634">
        <v>3.1265416682467677</v>
      </c>
      <c r="U76" s="495">
        <v>2.91</v>
      </c>
      <c r="V76" s="724">
        <v>2.8</v>
      </c>
      <c r="W76" s="211">
        <v>2.31</v>
      </c>
      <c r="Z76" s="606" t="s">
        <v>86</v>
      </c>
      <c r="AA76" s="645">
        <v>3.2002103137755764</v>
      </c>
      <c r="AB76" s="630">
        <v>3.034120316800371</v>
      </c>
      <c r="AC76" s="634">
        <v>2.4645577184076859</v>
      </c>
      <c r="AD76" s="632">
        <v>3.9026643141788768</v>
      </c>
      <c r="AE76" s="633">
        <v>3.7420895749550587</v>
      </c>
      <c r="AF76" s="634">
        <v>3.1346981700649659</v>
      </c>
      <c r="AG76" s="495">
        <v>2.42</v>
      </c>
      <c r="AH76" s="724">
        <v>2.23</v>
      </c>
      <c r="AI76" s="211">
        <v>1.78</v>
      </c>
      <c r="AL76" s="606" t="s">
        <v>86</v>
      </c>
      <c r="AM76" s="645">
        <v>3.46</v>
      </c>
      <c r="AN76" s="630">
        <v>3.22</v>
      </c>
      <c r="AO76" s="634">
        <v>3.08</v>
      </c>
      <c r="AP76" s="632">
        <v>4.1560054727224687</v>
      </c>
      <c r="AQ76" s="633">
        <v>3.9385539752000276</v>
      </c>
      <c r="AR76" s="634">
        <v>3.7003397759213836</v>
      </c>
      <c r="AS76" s="655">
        <v>2.6497799999999998</v>
      </c>
      <c r="AT76" s="726">
        <v>2.4226559999999999</v>
      </c>
      <c r="AU76" s="747">
        <v>2.3469480000000003</v>
      </c>
      <c r="AX76" s="606" t="s">
        <v>86</v>
      </c>
      <c r="AY76" s="645">
        <v>4.7313841982619635</v>
      </c>
      <c r="AZ76" s="630">
        <v>4.5148362030716305</v>
      </c>
      <c r="BA76" s="634">
        <v>4.3315656904250774</v>
      </c>
      <c r="BB76" s="632">
        <v>4.9625639060708613</v>
      </c>
      <c r="BC76" s="633">
        <v>4.802133660285457</v>
      </c>
      <c r="BD76" s="634">
        <v>4.6476033893573563</v>
      </c>
      <c r="BE76" s="635">
        <v>4.09</v>
      </c>
      <c r="BF76" s="495">
        <v>3.82</v>
      </c>
      <c r="BG76" s="211">
        <v>3.71</v>
      </c>
      <c r="BJ76" s="606" t="s">
        <v>86</v>
      </c>
      <c r="BK76" s="645">
        <v>3.8275000000000001</v>
      </c>
      <c r="BL76" s="630">
        <v>3.7225000000000001</v>
      </c>
      <c r="BM76" s="634">
        <v>3.39</v>
      </c>
      <c r="BN76" s="632">
        <v>3.87</v>
      </c>
      <c r="BO76" s="633">
        <v>3.77</v>
      </c>
      <c r="BP76" s="634">
        <v>3.36</v>
      </c>
      <c r="BQ76" s="635">
        <v>3.1025806451612903</v>
      </c>
      <c r="BR76" s="630">
        <v>2.9312903225806446</v>
      </c>
      <c r="BS76" s="634">
        <v>2.6712903225806452</v>
      </c>
      <c r="BV76" s="606" t="s">
        <v>86</v>
      </c>
      <c r="BW76" s="645">
        <v>2.93</v>
      </c>
      <c r="BX76" s="630">
        <v>2.83</v>
      </c>
      <c r="BY76" s="634">
        <v>2.68</v>
      </c>
      <c r="BZ76" s="632">
        <v>3.06</v>
      </c>
      <c r="CA76" s="633">
        <v>2.98</v>
      </c>
      <c r="CB76" s="634">
        <v>3.21</v>
      </c>
      <c r="CC76" s="635">
        <v>2.27</v>
      </c>
      <c r="CD76" s="630">
        <v>2.11</v>
      </c>
      <c r="CE76" s="634">
        <v>2.06</v>
      </c>
    </row>
    <row r="77" spans="2:83" ht="15" customHeight="1" x14ac:dyDescent="0.3">
      <c r="B77" s="570" t="s">
        <v>87</v>
      </c>
      <c r="C77" s="646">
        <v>3.8579999999999997</v>
      </c>
      <c r="D77" s="618">
        <v>3.0147021167999997</v>
      </c>
      <c r="E77" s="614">
        <v>3.2939999999999996</v>
      </c>
      <c r="F77" s="637">
        <v>4.151070082721338</v>
      </c>
      <c r="G77" s="638">
        <v>4.0078342445742265</v>
      </c>
      <c r="H77" s="614">
        <v>3.5425421250237932</v>
      </c>
      <c r="I77" s="495">
        <v>3.1418819999999998</v>
      </c>
      <c r="J77" s="495">
        <v>3.0283200000000003</v>
      </c>
      <c r="K77" s="211">
        <v>2.7633420000000002</v>
      </c>
      <c r="N77" s="570" t="s">
        <v>87</v>
      </c>
      <c r="O77" s="646">
        <v>3.5920000000000001</v>
      </c>
      <c r="P77" s="618">
        <v>3.4559999999999995</v>
      </c>
      <c r="Q77" s="614">
        <v>3.0159999999999996</v>
      </c>
      <c r="R77" s="637">
        <v>4.0744090712177705</v>
      </c>
      <c r="S77" s="638">
        <v>3.8748610868760323</v>
      </c>
      <c r="T77" s="614">
        <v>3.2438005747255163</v>
      </c>
      <c r="U77" s="495">
        <v>2.84</v>
      </c>
      <c r="V77" s="495">
        <v>2.69</v>
      </c>
      <c r="W77" s="211">
        <v>2.35</v>
      </c>
      <c r="Z77" s="570" t="s">
        <v>87</v>
      </c>
      <c r="AA77" s="646">
        <v>3.0548298761097241</v>
      </c>
      <c r="AB77" s="618">
        <v>2.8877852022520321</v>
      </c>
      <c r="AC77" s="614">
        <v>2.398312243379046</v>
      </c>
      <c r="AD77" s="637">
        <v>3.7412955380302408</v>
      </c>
      <c r="AE77" s="638">
        <v>3.5826897339632131</v>
      </c>
      <c r="AF77" s="614">
        <v>2.9827529925932046</v>
      </c>
      <c r="AG77" s="495">
        <v>2.31</v>
      </c>
      <c r="AH77" s="495">
        <v>2.16</v>
      </c>
      <c r="AI77" s="211">
        <v>1.82</v>
      </c>
      <c r="AL77" s="570" t="s">
        <v>87</v>
      </c>
      <c r="AM77" s="646">
        <v>3.58</v>
      </c>
      <c r="AN77" s="618">
        <v>3.41</v>
      </c>
      <c r="AO77" s="614">
        <v>3.15</v>
      </c>
      <c r="AP77" s="637">
        <v>3.7408287314382487</v>
      </c>
      <c r="AQ77" s="638">
        <v>3.5072511106594986</v>
      </c>
      <c r="AR77" s="614">
        <v>3.3050437901642198</v>
      </c>
      <c r="AS77" s="655">
        <v>2.7633420000000002</v>
      </c>
      <c r="AT77" s="452">
        <v>2.611926</v>
      </c>
      <c r="AU77" s="211">
        <v>2.4605100000000002</v>
      </c>
      <c r="AX77" s="570" t="s">
        <v>87</v>
      </c>
      <c r="AY77" s="646">
        <v>4.9097382715573259</v>
      </c>
      <c r="AZ77" s="618">
        <v>4.5848096213315479</v>
      </c>
      <c r="BA77" s="614">
        <v>4.3382699916671834</v>
      </c>
      <c r="BB77" s="637">
        <v>4.8687480525081153</v>
      </c>
      <c r="BC77" s="638">
        <v>4.699480212088039</v>
      </c>
      <c r="BD77" s="614">
        <v>4.5063781343662219</v>
      </c>
      <c r="BE77" s="636">
        <v>4.16</v>
      </c>
      <c r="BF77" s="495">
        <v>3.86</v>
      </c>
      <c r="BG77" s="211">
        <v>3.71</v>
      </c>
      <c r="BJ77" s="570" t="s">
        <v>87</v>
      </c>
      <c r="BK77" s="646">
        <v>3.7225000000000001</v>
      </c>
      <c r="BL77" s="618">
        <v>3.6324999999999994</v>
      </c>
      <c r="BM77" s="614">
        <v>3.2225000000000001</v>
      </c>
      <c r="BN77" s="637">
        <v>3.99</v>
      </c>
      <c r="BO77" s="638">
        <v>3.85</v>
      </c>
      <c r="BP77" s="614">
        <v>3.4299999999999997</v>
      </c>
      <c r="BQ77" s="636">
        <v>3.0664285714285717</v>
      </c>
      <c r="BR77" s="618">
        <v>2.8885714285714283</v>
      </c>
      <c r="BS77" s="614">
        <v>2.569285714285714</v>
      </c>
      <c r="BV77" s="570" t="s">
        <v>87</v>
      </c>
      <c r="BW77" s="646">
        <v>3.05</v>
      </c>
      <c r="BX77" s="618">
        <v>2.94</v>
      </c>
      <c r="BY77" s="614">
        <v>2.57</v>
      </c>
      <c r="BZ77" s="637">
        <v>2.89</v>
      </c>
      <c r="CA77" s="638">
        <v>2.85</v>
      </c>
      <c r="CB77" s="614">
        <v>2.91</v>
      </c>
      <c r="CC77" s="636">
        <v>2.39</v>
      </c>
      <c r="CD77" s="618">
        <v>2.19</v>
      </c>
      <c r="CE77" s="614">
        <v>1.91</v>
      </c>
    </row>
    <row r="78" spans="2:83" ht="15" customHeight="1" x14ac:dyDescent="0.3">
      <c r="B78" s="570" t="s">
        <v>88</v>
      </c>
      <c r="C78" s="646">
        <v>3.7925</v>
      </c>
      <c r="D78" s="618">
        <v>2.9299088880000004</v>
      </c>
      <c r="E78" s="614">
        <v>3.2149999999999999</v>
      </c>
      <c r="F78" s="637">
        <v>4.1848726688403186</v>
      </c>
      <c r="G78" s="638">
        <v>4.042496588266328</v>
      </c>
      <c r="H78" s="614">
        <v>3.569018218021184</v>
      </c>
      <c r="I78" s="495">
        <v>3.0283200000000003</v>
      </c>
      <c r="J78" s="495">
        <v>2.914758</v>
      </c>
      <c r="K78" s="211">
        <v>2.6497799999999998</v>
      </c>
      <c r="N78" s="570" t="s">
        <v>88</v>
      </c>
      <c r="O78" s="646">
        <v>3.5724999999999998</v>
      </c>
      <c r="P78" s="618">
        <v>3.4375</v>
      </c>
      <c r="Q78" s="614">
        <v>2.9525000000000001</v>
      </c>
      <c r="R78" s="637">
        <v>3.9937131150894842</v>
      </c>
      <c r="S78" s="638">
        <v>3.8074624020642522</v>
      </c>
      <c r="T78" s="614">
        <v>3.1952098398745234</v>
      </c>
      <c r="U78" s="495">
        <v>2.76</v>
      </c>
      <c r="V78" s="495">
        <v>2.69</v>
      </c>
      <c r="W78" s="211">
        <v>2.35</v>
      </c>
      <c r="Z78" s="570" t="s">
        <v>88</v>
      </c>
      <c r="AA78" s="646">
        <v>3.2149999999999999</v>
      </c>
      <c r="AB78" s="618">
        <v>3.08</v>
      </c>
      <c r="AC78" s="614">
        <v>2.5024999999999999</v>
      </c>
      <c r="AD78" s="637">
        <v>3.110941119004798</v>
      </c>
      <c r="AE78" s="638">
        <v>2.9641326617034478</v>
      </c>
      <c r="AF78" s="614">
        <v>2.4118532270936073</v>
      </c>
      <c r="AG78" s="495">
        <v>2.35</v>
      </c>
      <c r="AH78" s="495">
        <v>2.2000000000000002</v>
      </c>
      <c r="AI78" s="211">
        <v>1.89</v>
      </c>
      <c r="AL78" s="570" t="s">
        <v>88</v>
      </c>
      <c r="AM78" s="646">
        <v>3.83</v>
      </c>
      <c r="AN78" s="618">
        <v>3.66</v>
      </c>
      <c r="AO78" s="614">
        <v>3.22</v>
      </c>
      <c r="AP78" s="637">
        <v>3.9413615072948938</v>
      </c>
      <c r="AQ78" s="638">
        <v>3.751848358146094</v>
      </c>
      <c r="AR78" s="614">
        <v>3.4271845658940507</v>
      </c>
      <c r="AS78" s="655">
        <v>2.9904660000000001</v>
      </c>
      <c r="AT78" s="452">
        <v>2.8390500000000003</v>
      </c>
      <c r="AU78" s="211">
        <v>2.5740720000000001</v>
      </c>
      <c r="AX78" s="570" t="s">
        <v>88</v>
      </c>
      <c r="AY78" s="646">
        <v>4.9954756716137974</v>
      </c>
      <c r="AZ78" s="618">
        <v>4.6954601779626639</v>
      </c>
      <c r="BA78" s="614">
        <v>4.3655875279915541</v>
      </c>
      <c r="BB78" s="637">
        <v>4.8375964839364922</v>
      </c>
      <c r="BC78" s="638">
        <v>4.6768187918429076</v>
      </c>
      <c r="BD78" s="614">
        <v>4.4301459375946211</v>
      </c>
      <c r="BE78" s="636">
        <v>4.24</v>
      </c>
      <c r="BF78" s="495">
        <v>3.94</v>
      </c>
      <c r="BG78" s="211">
        <v>3.71</v>
      </c>
      <c r="BJ78" s="570" t="s">
        <v>88</v>
      </c>
      <c r="BK78" s="646">
        <v>3.9380000000000002</v>
      </c>
      <c r="BL78" s="618">
        <v>3.8259999999999996</v>
      </c>
      <c r="BM78" s="614">
        <v>3.3180000000000001</v>
      </c>
      <c r="BN78" s="637">
        <v>4.0860000000000003</v>
      </c>
      <c r="BO78" s="638">
        <v>3.9</v>
      </c>
      <c r="BP78" s="614">
        <v>3.4340000000000002</v>
      </c>
      <c r="BQ78" s="636">
        <v>3.1967741935483867</v>
      </c>
      <c r="BR78" s="618">
        <v>3.0061290322580647</v>
      </c>
      <c r="BS78" s="614">
        <v>2.649354838709677</v>
      </c>
      <c r="BV78" s="570" t="s">
        <v>88</v>
      </c>
      <c r="BW78" s="646">
        <v>2.95</v>
      </c>
      <c r="BX78" s="618">
        <v>2.86</v>
      </c>
      <c r="BY78" s="614">
        <v>2.4500000000000002</v>
      </c>
      <c r="BZ78" s="637">
        <v>2.94</v>
      </c>
      <c r="CA78" s="638">
        <v>2.9</v>
      </c>
      <c r="CB78" s="614">
        <v>2.92</v>
      </c>
      <c r="CC78" s="636">
        <v>2.4</v>
      </c>
      <c r="CD78" s="618">
        <v>2.23</v>
      </c>
      <c r="CE78" s="614">
        <v>1.84</v>
      </c>
    </row>
    <row r="79" spans="2:83" ht="15" customHeight="1" x14ac:dyDescent="0.3">
      <c r="B79" s="570" t="s">
        <v>89</v>
      </c>
      <c r="C79" s="646">
        <v>3.99</v>
      </c>
      <c r="D79" s="618">
        <v>3.0605056020000001</v>
      </c>
      <c r="E79" s="614">
        <v>3.3925000000000001</v>
      </c>
      <c r="F79" s="637">
        <v>4.2560112059900792</v>
      </c>
      <c r="G79" s="638">
        <v>4.0838345181907494</v>
      </c>
      <c r="H79" s="614">
        <v>3.5433489356118342</v>
      </c>
      <c r="I79" s="495">
        <v>3.21759</v>
      </c>
      <c r="J79" s="495">
        <v>3.104028</v>
      </c>
      <c r="K79" s="211">
        <v>2.7633420000000002</v>
      </c>
      <c r="N79" s="570" t="s">
        <v>89</v>
      </c>
      <c r="O79" s="646">
        <v>3.6524999999999999</v>
      </c>
      <c r="P79" s="618">
        <v>3.54</v>
      </c>
      <c r="Q79" s="614">
        <v>2.95</v>
      </c>
      <c r="R79" s="637">
        <v>3.9925484100250603</v>
      </c>
      <c r="S79" s="638">
        <v>3.8056004444872054</v>
      </c>
      <c r="T79" s="614">
        <v>3.1634807610619173</v>
      </c>
      <c r="U79" s="495">
        <v>2.84</v>
      </c>
      <c r="V79" s="495">
        <v>2.73</v>
      </c>
      <c r="W79" s="211">
        <v>2.31</v>
      </c>
      <c r="Z79" s="570" t="s">
        <v>89</v>
      </c>
      <c r="AA79" s="646">
        <v>3.42</v>
      </c>
      <c r="AB79" s="618">
        <v>3.2774999999999999</v>
      </c>
      <c r="AC79" s="614">
        <v>2.5250000000000004</v>
      </c>
      <c r="AD79" s="637">
        <v>3.2320807375233613</v>
      </c>
      <c r="AE79" s="638">
        <v>3.1113505375287489</v>
      </c>
      <c r="AF79" s="614">
        <v>2.4974566697046532</v>
      </c>
      <c r="AG79" s="495">
        <v>2.57</v>
      </c>
      <c r="AH79" s="495">
        <v>2.46</v>
      </c>
      <c r="AI79" s="211">
        <v>1.89</v>
      </c>
      <c r="AL79" s="570" t="s">
        <v>89</v>
      </c>
      <c r="AM79" s="646">
        <v>3.91</v>
      </c>
      <c r="AN79" s="618">
        <v>3.73</v>
      </c>
      <c r="AO79" s="614">
        <v>3.19</v>
      </c>
      <c r="AP79" s="637">
        <v>4.2297665252594694</v>
      </c>
      <c r="AQ79" s="638">
        <v>4.0385723556992641</v>
      </c>
      <c r="AR79" s="614">
        <v>3.5187324318398341</v>
      </c>
      <c r="AS79" s="655">
        <v>2.9904660000000001</v>
      </c>
      <c r="AT79" s="452">
        <v>2.8390500000000003</v>
      </c>
      <c r="AU79" s="211">
        <v>2.4605100000000002</v>
      </c>
      <c r="AX79" s="570" t="s">
        <v>89</v>
      </c>
      <c r="AY79" s="646">
        <v>5.0363127462752368</v>
      </c>
      <c r="AZ79" s="618">
        <v>4.8262689168881714</v>
      </c>
      <c r="BA79" s="614">
        <v>4.3536219859059884</v>
      </c>
      <c r="BB79" s="637">
        <v>5.1604314252601213</v>
      </c>
      <c r="BC79" s="638">
        <v>4.9354625987794174</v>
      </c>
      <c r="BD79" s="614">
        <v>4.6058904325974961</v>
      </c>
      <c r="BE79" s="636">
        <v>4.2</v>
      </c>
      <c r="BF79" s="495">
        <v>4.01</v>
      </c>
      <c r="BG79" s="211">
        <v>3.67</v>
      </c>
      <c r="BJ79" s="570" t="s">
        <v>89</v>
      </c>
      <c r="BK79" s="646">
        <v>4.0775000000000006</v>
      </c>
      <c r="BL79" s="618">
        <v>3.9050000000000002</v>
      </c>
      <c r="BM79" s="614">
        <v>3.4299999999999997</v>
      </c>
      <c r="BN79" s="637">
        <v>4.2149999999999999</v>
      </c>
      <c r="BO79" s="638">
        <v>4.01</v>
      </c>
      <c r="BP79" s="614">
        <v>3.4750000000000001</v>
      </c>
      <c r="BQ79" s="636">
        <v>3.3676666666666666</v>
      </c>
      <c r="BR79" s="618">
        <v>3.1133333333333333</v>
      </c>
      <c r="BS79" s="614">
        <v>2.7636666666666665</v>
      </c>
      <c r="BV79" s="570" t="s">
        <v>89</v>
      </c>
      <c r="BW79" s="646">
        <v>3.16</v>
      </c>
      <c r="BX79" s="618">
        <v>3.04</v>
      </c>
      <c r="BY79" s="614">
        <v>2.59</v>
      </c>
      <c r="BZ79" s="637">
        <v>3.24</v>
      </c>
      <c r="CA79" s="638">
        <v>3.17</v>
      </c>
      <c r="CB79" s="614">
        <v>2.63</v>
      </c>
      <c r="CC79" s="636">
        <v>2.56</v>
      </c>
      <c r="CD79" s="618">
        <v>2.34</v>
      </c>
      <c r="CE79" s="614">
        <v>2</v>
      </c>
    </row>
    <row r="80" spans="2:83" ht="15" customHeight="1" x14ac:dyDescent="0.3">
      <c r="B80" s="570" t="s">
        <v>90</v>
      </c>
      <c r="C80" s="646">
        <v>4.0839999999999996</v>
      </c>
      <c r="D80" s="618">
        <v>3.2155943248000001</v>
      </c>
      <c r="E80" s="614">
        <v>3.4900000000000007</v>
      </c>
      <c r="F80" s="637">
        <v>4.3571366340830533</v>
      </c>
      <c r="G80" s="638">
        <v>4.1669914549822575</v>
      </c>
      <c r="H80" s="614">
        <v>3.5738677819057565</v>
      </c>
      <c r="I80" s="495">
        <v>3.3690060000000002</v>
      </c>
      <c r="J80" s="495">
        <v>3.2932980000000001</v>
      </c>
      <c r="K80" s="211">
        <v>2.9526120000000002</v>
      </c>
      <c r="N80" s="570" t="s">
        <v>90</v>
      </c>
      <c r="O80" s="646">
        <v>3.6280000000000001</v>
      </c>
      <c r="P80" s="618">
        <v>3.4880000000000004</v>
      </c>
      <c r="Q80" s="614">
        <v>2.8880000000000003</v>
      </c>
      <c r="R80" s="637">
        <v>3.9611609252471354</v>
      </c>
      <c r="S80" s="638">
        <v>3.7779392860356906</v>
      </c>
      <c r="T80" s="614">
        <v>3.042879494799509</v>
      </c>
      <c r="U80" s="495">
        <v>2.84</v>
      </c>
      <c r="V80" s="495">
        <v>2.73</v>
      </c>
      <c r="W80" s="211">
        <v>2.27</v>
      </c>
      <c r="Z80" s="570" t="s">
        <v>90</v>
      </c>
      <c r="AA80" s="646">
        <v>3.5660000000000003</v>
      </c>
      <c r="AB80" s="618">
        <v>3.4079999999999999</v>
      </c>
      <c r="AC80" s="614">
        <v>2.738</v>
      </c>
      <c r="AD80" s="637">
        <v>3.4963004341808825</v>
      </c>
      <c r="AE80" s="638">
        <v>3.3658559741607954</v>
      </c>
      <c r="AF80" s="614">
        <v>2.4271515534793955</v>
      </c>
      <c r="AG80" s="495">
        <v>2.73</v>
      </c>
      <c r="AH80" s="495">
        <v>2.57</v>
      </c>
      <c r="AI80" s="211">
        <v>2.08</v>
      </c>
      <c r="AL80" s="570" t="s">
        <v>90</v>
      </c>
      <c r="AM80" s="646">
        <v>4.2</v>
      </c>
      <c r="AN80" s="618">
        <v>3.92</v>
      </c>
      <c r="AO80" s="614">
        <v>3.37</v>
      </c>
      <c r="AP80" s="637">
        <v>4.2168553775001065</v>
      </c>
      <c r="AQ80" s="638">
        <v>4.0411538027181884</v>
      </c>
      <c r="AR80" s="614">
        <v>3.3596469052294911</v>
      </c>
      <c r="AS80" s="655">
        <v>3.2932980000000001</v>
      </c>
      <c r="AT80" s="452">
        <v>3.0661740000000002</v>
      </c>
      <c r="AU80" s="211">
        <v>2.6497799999999998</v>
      </c>
      <c r="AX80" s="570" t="s">
        <v>90</v>
      </c>
      <c r="AY80" s="646">
        <v>5.0414477299471656</v>
      </c>
      <c r="AZ80" s="618">
        <v>4.7846609428278599</v>
      </c>
      <c r="BA80" s="614">
        <v>4.3378574377837706</v>
      </c>
      <c r="BB80" s="637">
        <v>5.1946091826095326</v>
      </c>
      <c r="BC80" s="638">
        <v>5.0322351797645863</v>
      </c>
      <c r="BD80" s="614">
        <v>4.5574518522476595</v>
      </c>
      <c r="BE80" s="636">
        <v>4.28</v>
      </c>
      <c r="BF80" s="495">
        <v>4.05</v>
      </c>
      <c r="BG80" s="211">
        <v>3.71</v>
      </c>
      <c r="BJ80" s="570" t="s">
        <v>90</v>
      </c>
      <c r="BK80" s="646">
        <v>3.9340000000000002</v>
      </c>
      <c r="BL80" s="618">
        <v>3.8040000000000007</v>
      </c>
      <c r="BM80" s="614">
        <v>3.34</v>
      </c>
      <c r="BN80" s="637">
        <v>4.5060000000000002</v>
      </c>
      <c r="BO80" s="638">
        <v>4.282</v>
      </c>
      <c r="BP80" s="614">
        <v>3.7439999999999998</v>
      </c>
      <c r="BQ80" s="636">
        <v>3.3816129032258067</v>
      </c>
      <c r="BR80" s="618">
        <v>3.1254838709677424</v>
      </c>
      <c r="BS80" s="614">
        <v>2.8006451612903227</v>
      </c>
      <c r="BV80" s="570" t="s">
        <v>90</v>
      </c>
      <c r="BW80" s="646">
        <v>3.33</v>
      </c>
      <c r="BX80" s="618">
        <v>3.24</v>
      </c>
      <c r="BY80" s="614">
        <v>2.63</v>
      </c>
      <c r="BZ80" s="637">
        <v>3.17</v>
      </c>
      <c r="CA80" s="638">
        <v>3.09</v>
      </c>
      <c r="CB80" s="614">
        <v>2.5099999999999998</v>
      </c>
      <c r="CC80" s="636">
        <v>2.71</v>
      </c>
      <c r="CD80" s="618">
        <v>2.5</v>
      </c>
      <c r="CE80" s="614">
        <v>2.02</v>
      </c>
    </row>
    <row r="81" spans="2:83" ht="15" customHeight="1" x14ac:dyDescent="0.3">
      <c r="B81" s="570" t="s">
        <v>91</v>
      </c>
      <c r="C81" s="646">
        <v>4.0649999999999995</v>
      </c>
      <c r="D81" s="618">
        <v>3.2743813799999999</v>
      </c>
      <c r="E81" s="614">
        <v>3.4824999999999999</v>
      </c>
      <c r="F81" s="637">
        <v>4.4836305001225423</v>
      </c>
      <c r="G81" s="638">
        <v>4.3285038213808154</v>
      </c>
      <c r="H81" s="614">
        <v>3.730224072584214</v>
      </c>
      <c r="I81" s="495">
        <v>3.3690060000000002</v>
      </c>
      <c r="J81" s="495">
        <v>3.2554440000000002</v>
      </c>
      <c r="K81" s="211">
        <v>2.9526120000000002</v>
      </c>
      <c r="N81" s="570" t="s">
        <v>91</v>
      </c>
      <c r="O81" s="646">
        <v>3.5449999999999999</v>
      </c>
      <c r="P81" s="618">
        <v>3.4349999999999996</v>
      </c>
      <c r="Q81" s="614">
        <v>2.8224999999999998</v>
      </c>
      <c r="R81" s="637">
        <v>3.8988313692423096</v>
      </c>
      <c r="S81" s="638">
        <v>3.7169609636356764</v>
      </c>
      <c r="T81" s="614">
        <v>2.9420477611637943</v>
      </c>
      <c r="U81" s="495">
        <v>2.76</v>
      </c>
      <c r="V81" s="495">
        <v>2.65</v>
      </c>
      <c r="W81" s="211">
        <v>2.23</v>
      </c>
      <c r="Z81" s="570" t="s">
        <v>91</v>
      </c>
      <c r="AA81" s="646">
        <v>3.5674999999999999</v>
      </c>
      <c r="AB81" s="618">
        <v>3.4475000000000002</v>
      </c>
      <c r="AC81" s="614">
        <v>2.8574999999999999</v>
      </c>
      <c r="AD81" s="637">
        <v>3.7027350026437627</v>
      </c>
      <c r="AE81" s="638">
        <v>3.5515619902112765</v>
      </c>
      <c r="AF81" s="614">
        <v>2.7319359523562365</v>
      </c>
      <c r="AG81" s="495">
        <v>2.76</v>
      </c>
      <c r="AH81" s="495">
        <v>2.65</v>
      </c>
      <c r="AI81" s="211">
        <v>2.23</v>
      </c>
      <c r="AL81" s="570" t="s">
        <v>91</v>
      </c>
      <c r="AM81" s="646">
        <v>4.4000000000000004</v>
      </c>
      <c r="AN81" s="618">
        <v>4</v>
      </c>
      <c r="AO81" s="614">
        <v>3.3</v>
      </c>
      <c r="AP81" s="637">
        <v>4.4903685429106099</v>
      </c>
      <c r="AQ81" s="638">
        <v>4.2599141697907807</v>
      </c>
      <c r="AR81" s="614">
        <v>3.5895014479876415</v>
      </c>
      <c r="AS81" s="655">
        <v>3.5204220000000004</v>
      </c>
      <c r="AT81" s="452">
        <v>3.1418819999999998</v>
      </c>
      <c r="AU81" s="211">
        <v>2.611926</v>
      </c>
      <c r="AX81" s="570" t="s">
        <v>91</v>
      </c>
      <c r="AY81" s="646">
        <v>5.1091925322734166</v>
      </c>
      <c r="AZ81" s="618">
        <v>4.9026528009110724</v>
      </c>
      <c r="BA81" s="614">
        <v>4.3431790656927909</v>
      </c>
      <c r="BB81" s="637">
        <v>5.3687241490437128</v>
      </c>
      <c r="BC81" s="638">
        <v>5.2023652565453222</v>
      </c>
      <c r="BD81" s="614">
        <v>4.6412513964715734</v>
      </c>
      <c r="BE81" s="636">
        <v>4.3499999999999996</v>
      </c>
      <c r="BF81" s="495">
        <v>4.09</v>
      </c>
      <c r="BG81" s="211">
        <v>3.67</v>
      </c>
      <c r="BJ81" s="570" t="s">
        <v>91</v>
      </c>
      <c r="BK81" s="646">
        <v>3.7824999999999998</v>
      </c>
      <c r="BL81" s="618">
        <v>3.6875</v>
      </c>
      <c r="BM81" s="614">
        <v>3.2725</v>
      </c>
      <c r="BN81" s="637">
        <v>4.5225</v>
      </c>
      <c r="BO81" s="638">
        <v>4.2850000000000001</v>
      </c>
      <c r="BP81" s="614">
        <v>3.7800000000000002</v>
      </c>
      <c r="BQ81" s="636">
        <v>3.0786666666666669</v>
      </c>
      <c r="BR81" s="618">
        <v>2.8886666666666665</v>
      </c>
      <c r="BS81" s="614">
        <v>2.5886666666666667</v>
      </c>
      <c r="BV81" s="570" t="s">
        <v>91</v>
      </c>
      <c r="BW81" s="646">
        <v>3.66</v>
      </c>
      <c r="BX81" s="618">
        <v>3.56</v>
      </c>
      <c r="BY81" s="614">
        <v>2.9</v>
      </c>
      <c r="BZ81" s="637">
        <v>3.08</v>
      </c>
      <c r="CA81" s="638">
        <v>2.96</v>
      </c>
      <c r="CB81" s="614">
        <v>2.4700000000000002</v>
      </c>
      <c r="CC81" s="636">
        <v>3.02</v>
      </c>
      <c r="CD81" s="618">
        <v>2.85</v>
      </c>
      <c r="CE81" s="614">
        <v>2.2999999999999998</v>
      </c>
    </row>
    <row r="82" spans="2:83" ht="15" customHeight="1" x14ac:dyDescent="0.25">
      <c r="B82" s="570" t="s">
        <v>93</v>
      </c>
      <c r="C82" s="646">
        <v>4.0424999999999995</v>
      </c>
      <c r="D82" s="618">
        <v>3.2232783179999998</v>
      </c>
      <c r="E82" s="614">
        <v>3.4675000000000002</v>
      </c>
      <c r="F82" s="637">
        <v>4.4996659943406261</v>
      </c>
      <c r="G82" s="638">
        <v>4.3263650012440547</v>
      </c>
      <c r="H82" s="614">
        <v>3.6856915801069468</v>
      </c>
      <c r="I82" s="496">
        <v>3.2932980000000001</v>
      </c>
      <c r="J82" s="496">
        <v>3.21759</v>
      </c>
      <c r="K82" s="211">
        <v>2.914758</v>
      </c>
      <c r="N82" s="570" t="s">
        <v>93</v>
      </c>
      <c r="O82" s="646">
        <v>3.4975000000000001</v>
      </c>
      <c r="P82" s="618">
        <v>3.4224999999999999</v>
      </c>
      <c r="Q82" s="614">
        <v>2.8125</v>
      </c>
      <c r="R82" s="637">
        <v>3.8507644426501835</v>
      </c>
      <c r="S82" s="638">
        <v>3.6761448304910478</v>
      </c>
      <c r="T82" s="614">
        <v>2.9098513330056721</v>
      </c>
      <c r="U82" s="496">
        <v>2.69</v>
      </c>
      <c r="V82" s="496">
        <v>2.61</v>
      </c>
      <c r="W82" s="211">
        <v>2.2000000000000002</v>
      </c>
      <c r="Z82" s="570" t="s">
        <v>93</v>
      </c>
      <c r="AA82" s="646">
        <v>3.4475000000000002</v>
      </c>
      <c r="AB82" s="618">
        <v>3.3249999999999997</v>
      </c>
      <c r="AC82" s="614">
        <v>2.7850000000000001</v>
      </c>
      <c r="AD82" s="637">
        <v>4.1143554635149755</v>
      </c>
      <c r="AE82" s="638">
        <v>3.9248955210324379</v>
      </c>
      <c r="AF82" s="614">
        <v>3.0816694064371242</v>
      </c>
      <c r="AG82" s="496">
        <v>2.65</v>
      </c>
      <c r="AH82" s="496">
        <v>2.54</v>
      </c>
      <c r="AI82" s="211">
        <v>2.16</v>
      </c>
      <c r="AL82" s="570" t="s">
        <v>93</v>
      </c>
      <c r="AM82" s="646">
        <v>4.42</v>
      </c>
      <c r="AN82" s="618">
        <v>4.0199999999999996</v>
      </c>
      <c r="AO82" s="614">
        <v>3.15</v>
      </c>
      <c r="AP82" s="637">
        <v>4.7030392202896225</v>
      </c>
      <c r="AQ82" s="638">
        <v>4.4512775878525499</v>
      </c>
      <c r="AR82" s="614">
        <v>3.4855670892908006</v>
      </c>
      <c r="AS82" s="656">
        <v>3.59613</v>
      </c>
      <c r="AT82" s="453">
        <v>3.1797360000000001</v>
      </c>
      <c r="AU82" s="211">
        <v>2.4605100000000002</v>
      </c>
      <c r="AX82" s="570" t="s">
        <v>93</v>
      </c>
      <c r="AY82" s="646">
        <v>5.0748230931080478</v>
      </c>
      <c r="AZ82" s="618">
        <v>4.8773675934291365</v>
      </c>
      <c r="BA82" s="614">
        <v>4.331110840814433</v>
      </c>
      <c r="BB82" s="637">
        <v>5.6835395696701907</v>
      </c>
      <c r="BC82" s="638">
        <v>5.4890341734567398</v>
      </c>
      <c r="BD82" s="614">
        <v>4.7057914344454552</v>
      </c>
      <c r="BE82" s="636">
        <v>4.28</v>
      </c>
      <c r="BF82" s="496">
        <v>4.09</v>
      </c>
      <c r="BG82" s="211">
        <v>3.63</v>
      </c>
      <c r="BJ82" s="570" t="s">
        <v>93</v>
      </c>
      <c r="BK82" s="646">
        <v>3.8424999999999998</v>
      </c>
      <c r="BL82" s="618">
        <v>3.7649999999999997</v>
      </c>
      <c r="BM82" s="614">
        <v>3.3099999999999996</v>
      </c>
      <c r="BN82" s="637">
        <v>4.4000000000000004</v>
      </c>
      <c r="BO82" s="638">
        <v>4.1349999999999998</v>
      </c>
      <c r="BP82" s="614">
        <v>3.65</v>
      </c>
      <c r="BQ82" s="636">
        <v>3.1458064516129034</v>
      </c>
      <c r="BR82" s="618">
        <v>2.9609677419354834</v>
      </c>
      <c r="BS82" s="614">
        <v>2.6374193548387095</v>
      </c>
      <c r="BV82" s="570" t="s">
        <v>93</v>
      </c>
      <c r="BW82" s="646">
        <v>3.48</v>
      </c>
      <c r="BX82" s="618">
        <v>3.4</v>
      </c>
      <c r="BY82" s="614">
        <v>2.85</v>
      </c>
      <c r="BZ82" s="637">
        <v>3.43</v>
      </c>
      <c r="CA82" s="638">
        <v>3.3</v>
      </c>
      <c r="CB82" s="614">
        <v>2.78</v>
      </c>
      <c r="CC82" s="636">
        <v>2.86</v>
      </c>
      <c r="CD82" s="618">
        <v>2.71</v>
      </c>
      <c r="CE82" s="614">
        <v>2.27</v>
      </c>
    </row>
    <row r="83" spans="2:83" ht="15" customHeight="1" x14ac:dyDescent="0.25">
      <c r="B83" s="570" t="s">
        <v>94</v>
      </c>
      <c r="C83" s="646">
        <v>4.0260000000000007</v>
      </c>
      <c r="D83" s="618">
        <v>3.2403126720000004</v>
      </c>
      <c r="E83" s="614">
        <v>3.4760000000000004</v>
      </c>
      <c r="F83" s="637">
        <v>4.4867299014800333</v>
      </c>
      <c r="G83" s="638">
        <v>4.3360259112940334</v>
      </c>
      <c r="H83" s="614">
        <v>3.6825231447275946</v>
      </c>
      <c r="I83" s="496">
        <v>3.2932980000000001</v>
      </c>
      <c r="J83" s="496">
        <v>3.21759</v>
      </c>
      <c r="K83" s="211">
        <v>2.914758</v>
      </c>
      <c r="N83" s="570" t="s">
        <v>94</v>
      </c>
      <c r="O83" s="646">
        <v>3.6459999999999999</v>
      </c>
      <c r="P83" s="618">
        <v>3.5200000000000005</v>
      </c>
      <c r="Q83" s="614">
        <v>2.94</v>
      </c>
      <c r="R83" s="637">
        <v>3.8262529237234753</v>
      </c>
      <c r="S83" s="638">
        <v>3.6715342092719219</v>
      </c>
      <c r="T83" s="614">
        <v>2.9905389854737878</v>
      </c>
      <c r="U83" s="496">
        <v>2.84</v>
      </c>
      <c r="V83" s="496">
        <v>2.76</v>
      </c>
      <c r="W83" s="211">
        <v>2.35</v>
      </c>
      <c r="Z83" s="570" t="s">
        <v>94</v>
      </c>
      <c r="AA83" s="646">
        <v>3.3920000000000003</v>
      </c>
      <c r="AB83" s="618">
        <v>3.3039999999999998</v>
      </c>
      <c r="AC83" s="614">
        <v>2.71</v>
      </c>
      <c r="AD83" s="637">
        <v>3.974419879410604</v>
      </c>
      <c r="AE83" s="638">
        <v>3.7987143163512314</v>
      </c>
      <c r="AF83" s="614">
        <v>3.0378358405168173</v>
      </c>
      <c r="AG83" s="496">
        <v>2.54</v>
      </c>
      <c r="AH83" s="496">
        <v>2.46</v>
      </c>
      <c r="AI83" s="211">
        <v>2.04</v>
      </c>
      <c r="AL83" s="570" t="s">
        <v>94</v>
      </c>
      <c r="AM83" s="646">
        <v>3.96</v>
      </c>
      <c r="AN83" s="618">
        <v>3.65</v>
      </c>
      <c r="AO83" s="614">
        <v>2.91</v>
      </c>
      <c r="AP83" s="637">
        <v>4.7408034772236824</v>
      </c>
      <c r="AQ83" s="638">
        <v>4.4816094742032471</v>
      </c>
      <c r="AR83" s="614">
        <v>3.3450070590375405</v>
      </c>
      <c r="AS83" s="656">
        <v>3.2554440000000002</v>
      </c>
      <c r="AT83" s="453">
        <v>2.914758</v>
      </c>
      <c r="AU83" s="211">
        <v>2.309094</v>
      </c>
      <c r="AX83" s="570" t="s">
        <v>94</v>
      </c>
      <c r="AY83" s="646">
        <v>4.8727694720987698</v>
      </c>
      <c r="AZ83" s="618">
        <v>4.7176433423897137</v>
      </c>
      <c r="BA83" s="614">
        <v>4.2786351856176141</v>
      </c>
      <c r="BB83" s="637">
        <v>5.5766751505634522</v>
      </c>
      <c r="BC83" s="638">
        <v>5.3884688616154</v>
      </c>
      <c r="BD83" s="614">
        <v>4.6331556039778095</v>
      </c>
      <c r="BE83" s="636">
        <v>4.09</v>
      </c>
      <c r="BF83" s="496">
        <v>3.94</v>
      </c>
      <c r="BG83" s="211">
        <v>3.63</v>
      </c>
      <c r="BJ83" s="570" t="s">
        <v>94</v>
      </c>
      <c r="BK83" s="646">
        <v>3.8319999999999999</v>
      </c>
      <c r="BL83" s="618">
        <v>3.7640000000000002</v>
      </c>
      <c r="BM83" s="614">
        <v>3.3639999999999999</v>
      </c>
      <c r="BN83" s="637">
        <v>4.2620000000000005</v>
      </c>
      <c r="BO83" s="638">
        <v>4.0380000000000003</v>
      </c>
      <c r="BP83" s="614">
        <v>3.504</v>
      </c>
      <c r="BQ83" s="636">
        <v>3.1503225806451614</v>
      </c>
      <c r="BR83" s="618">
        <v>2.9680645161290324</v>
      </c>
      <c r="BS83" s="614">
        <v>2.6664516129032259</v>
      </c>
      <c r="BV83" s="570" t="s">
        <v>94</v>
      </c>
      <c r="BW83" s="646">
        <v>3.65</v>
      </c>
      <c r="BX83" s="618">
        <v>3.58</v>
      </c>
      <c r="BY83" s="614">
        <v>3.03</v>
      </c>
      <c r="BZ83" s="637">
        <v>3.67</v>
      </c>
      <c r="CA83" s="638">
        <v>3.56</v>
      </c>
      <c r="CB83" s="614">
        <v>3.04</v>
      </c>
      <c r="CC83" s="636">
        <v>3.03</v>
      </c>
      <c r="CD83" s="618">
        <v>2.86</v>
      </c>
      <c r="CE83" s="614">
        <v>2.48</v>
      </c>
    </row>
    <row r="84" spans="2:83" ht="15" customHeight="1" x14ac:dyDescent="0.25">
      <c r="B84" s="570" t="s">
        <v>101</v>
      </c>
      <c r="C84" s="646">
        <v>4.0449999999999999</v>
      </c>
      <c r="D84" s="618">
        <v>3.210029376</v>
      </c>
      <c r="E84" s="614">
        <v>3.645</v>
      </c>
      <c r="F84" s="637">
        <v>4.4251489659799068</v>
      </c>
      <c r="G84" s="638">
        <v>4.3110348670027285</v>
      </c>
      <c r="H84" s="614">
        <v>3.6689573756185712</v>
      </c>
      <c r="I84" s="496">
        <v>3.2554440000000002</v>
      </c>
      <c r="J84" s="496">
        <v>3.1797360000000001</v>
      </c>
      <c r="K84" s="211">
        <v>2.9526120000000002</v>
      </c>
      <c r="N84" s="570" t="s">
        <v>101</v>
      </c>
      <c r="O84" s="646">
        <v>3.8724999999999996</v>
      </c>
      <c r="P84" s="618">
        <v>3.6475</v>
      </c>
      <c r="Q84" s="614">
        <v>3.0324999999999998</v>
      </c>
      <c r="R84" s="637">
        <v>3.9896303952251184</v>
      </c>
      <c r="S84" s="638">
        <v>3.814512990425893</v>
      </c>
      <c r="T84" s="614">
        <v>3.2470742484864759</v>
      </c>
      <c r="U84" s="496">
        <v>3.12</v>
      </c>
      <c r="V84" s="496">
        <v>2.91</v>
      </c>
      <c r="W84" s="211">
        <v>2.48</v>
      </c>
      <c r="Z84" s="570" t="s">
        <v>101</v>
      </c>
      <c r="AA84" s="646">
        <v>3.4525000000000001</v>
      </c>
      <c r="AB84" s="618">
        <v>3.3474999999999997</v>
      </c>
      <c r="AC84" s="614">
        <v>2.8</v>
      </c>
      <c r="AD84" s="637">
        <v>3.8621366998301667</v>
      </c>
      <c r="AE84" s="638">
        <v>3.6899760995117714</v>
      </c>
      <c r="AF84" s="614">
        <v>3.0466662447797779</v>
      </c>
      <c r="AG84" s="496">
        <v>2.65</v>
      </c>
      <c r="AH84" s="496">
        <v>2.57</v>
      </c>
      <c r="AI84" s="211">
        <v>2.195532</v>
      </c>
      <c r="AL84" s="570" t="s">
        <v>101</v>
      </c>
      <c r="AM84" s="646">
        <v>3.51</v>
      </c>
      <c r="AN84" s="618">
        <v>3.32</v>
      </c>
      <c r="AO84" s="614">
        <v>2.91</v>
      </c>
      <c r="AP84" s="637">
        <v>4.5163497984069281</v>
      </c>
      <c r="AQ84" s="638">
        <v>4.2838937530911583</v>
      </c>
      <c r="AR84" s="614">
        <v>3.2019977920222216</v>
      </c>
      <c r="AS84" s="656">
        <v>2.7254879999999999</v>
      </c>
      <c r="AT84" s="453">
        <v>2.5362180000000003</v>
      </c>
      <c r="AU84" s="211">
        <v>2.195532</v>
      </c>
      <c r="AX84" s="570" t="s">
        <v>101</v>
      </c>
      <c r="AY84" s="646">
        <v>4.8906515353466133</v>
      </c>
      <c r="AZ84" s="618">
        <v>4.6137561329875565</v>
      </c>
      <c r="BA84" s="614">
        <v>4.1669950822466086</v>
      </c>
      <c r="BB84" s="637">
        <v>5.3754171750476356</v>
      </c>
      <c r="BC84" s="638">
        <v>5.2077287341263396</v>
      </c>
      <c r="BD84" s="614">
        <v>4.6109627568119418</v>
      </c>
      <c r="BE84" s="636">
        <v>4.05</v>
      </c>
      <c r="BF84" s="496">
        <v>3.82</v>
      </c>
      <c r="BG84" s="211">
        <v>3.56</v>
      </c>
      <c r="BJ84" s="570" t="s">
        <v>101</v>
      </c>
      <c r="BK84" s="646">
        <v>3.7849999999999997</v>
      </c>
      <c r="BL84" s="618">
        <v>3.6975000000000002</v>
      </c>
      <c r="BM84" s="614">
        <v>3.3849999999999998</v>
      </c>
      <c r="BN84" s="637">
        <v>4.3249999999999993</v>
      </c>
      <c r="BO84" s="638">
        <v>4.1375000000000002</v>
      </c>
      <c r="BP84" s="614">
        <v>3.6424999999999996</v>
      </c>
      <c r="BQ84" s="636">
        <v>3.0233333333333334</v>
      </c>
      <c r="BR84" s="618">
        <v>2.88</v>
      </c>
      <c r="BS84" s="614">
        <v>2.6480000000000001</v>
      </c>
      <c r="BV84" s="570" t="s">
        <v>101</v>
      </c>
      <c r="BW84" s="646">
        <v>3.56</v>
      </c>
      <c r="BX84" s="618">
        <v>3.47</v>
      </c>
      <c r="BY84" s="614">
        <v>2.99</v>
      </c>
      <c r="BZ84" s="637">
        <v>3.68</v>
      </c>
      <c r="CA84" s="638">
        <v>3.59</v>
      </c>
      <c r="CB84" s="614">
        <v>3.1</v>
      </c>
      <c r="CC84" s="636">
        <v>2.93</v>
      </c>
      <c r="CD84" s="618">
        <v>2.72</v>
      </c>
      <c r="CE84" s="614">
        <v>2.38</v>
      </c>
    </row>
    <row r="85" spans="2:83" ht="15" customHeight="1" x14ac:dyDescent="0.25">
      <c r="B85" s="570" t="s">
        <v>95</v>
      </c>
      <c r="C85" s="646">
        <v>4.1659999999999995</v>
      </c>
      <c r="D85" s="618">
        <v>3.2758955448</v>
      </c>
      <c r="E85" s="614">
        <v>3.774</v>
      </c>
      <c r="F85" s="637">
        <v>4.3123428730200235</v>
      </c>
      <c r="G85" s="638">
        <v>4.2045343011945224</v>
      </c>
      <c r="H85" s="614">
        <v>3.7103794017586949</v>
      </c>
      <c r="I85" s="496">
        <v>3.3311519999999999</v>
      </c>
      <c r="J85" s="496">
        <v>3.21759</v>
      </c>
      <c r="K85" s="211">
        <v>3.104028</v>
      </c>
      <c r="N85" s="570" t="s">
        <v>95</v>
      </c>
      <c r="O85" s="646">
        <v>3.7039999999999997</v>
      </c>
      <c r="P85" s="618">
        <v>3.536</v>
      </c>
      <c r="Q85" s="614">
        <v>3.0859999999999999</v>
      </c>
      <c r="R85" s="637">
        <v>4.1648281086031105</v>
      </c>
      <c r="S85" s="638">
        <v>3.9758246141984452</v>
      </c>
      <c r="T85" s="614">
        <v>3.3481594861765585</v>
      </c>
      <c r="U85" s="496">
        <v>3.05</v>
      </c>
      <c r="V85" s="496">
        <v>2.83</v>
      </c>
      <c r="W85" s="211">
        <v>2.56</v>
      </c>
      <c r="Z85" s="570" t="s">
        <v>95</v>
      </c>
      <c r="AA85" s="646">
        <v>3.5380000000000003</v>
      </c>
      <c r="AB85" s="618">
        <v>3.3840000000000003</v>
      </c>
      <c r="AC85" s="614">
        <v>2.8940000000000001</v>
      </c>
      <c r="AD85" s="637">
        <v>3.9226929972236162</v>
      </c>
      <c r="AE85" s="638">
        <v>3.7509372391559568</v>
      </c>
      <c r="AF85" s="614">
        <v>3.1626212903487692</v>
      </c>
      <c r="AG85" s="496">
        <v>2.73</v>
      </c>
      <c r="AH85" s="496">
        <v>2.57</v>
      </c>
      <c r="AI85" s="211">
        <v>2.23</v>
      </c>
      <c r="AL85" s="570" t="s">
        <v>95</v>
      </c>
      <c r="AM85" s="646">
        <v>3.45</v>
      </c>
      <c r="AN85" s="618">
        <v>3.25</v>
      </c>
      <c r="AO85" s="614">
        <v>2.9</v>
      </c>
      <c r="AP85" s="637">
        <v>3.939910622680701</v>
      </c>
      <c r="AQ85" s="638">
        <v>3.7743258086136282</v>
      </c>
      <c r="AR85" s="614">
        <v>3.2062762939782927</v>
      </c>
      <c r="AS85" s="656">
        <v>2.6876340000000001</v>
      </c>
      <c r="AT85" s="453">
        <v>2.498364</v>
      </c>
      <c r="AU85" s="211">
        <v>2.195532</v>
      </c>
      <c r="AX85" s="570" t="s">
        <v>95</v>
      </c>
      <c r="AY85" s="646">
        <v>4.6598948789318317</v>
      </c>
      <c r="AZ85" s="618">
        <v>4.2526282066836512</v>
      </c>
      <c r="BA85" s="614">
        <v>3.9651516010558208</v>
      </c>
      <c r="BB85" s="637">
        <v>5.3535439549408954</v>
      </c>
      <c r="BC85" s="638">
        <v>5.1180580892709742</v>
      </c>
      <c r="BD85" s="614">
        <v>4.5265135998482746</v>
      </c>
      <c r="BE85" s="636">
        <v>4.09</v>
      </c>
      <c r="BF85" s="496">
        <v>3.75</v>
      </c>
      <c r="BG85" s="211">
        <v>3.41</v>
      </c>
      <c r="BJ85" s="570" t="s">
        <v>95</v>
      </c>
      <c r="BK85" s="646">
        <v>3.94</v>
      </c>
      <c r="BL85" s="618">
        <v>3.79</v>
      </c>
      <c r="BM85" s="614">
        <v>3.5474999999999999</v>
      </c>
      <c r="BN85" s="637">
        <v>4.25</v>
      </c>
      <c r="BO85" s="638">
        <v>4.07</v>
      </c>
      <c r="BP85" s="614">
        <v>3.61</v>
      </c>
      <c r="BQ85" s="636">
        <v>3.1577419354838714</v>
      </c>
      <c r="BR85" s="618">
        <v>2.9767741935483869</v>
      </c>
      <c r="BS85" s="614">
        <v>2.7916129032258064</v>
      </c>
      <c r="BV85" s="570" t="s">
        <v>95</v>
      </c>
      <c r="BW85" s="646">
        <v>3.54</v>
      </c>
      <c r="BX85" s="618">
        <v>3.44</v>
      </c>
      <c r="BY85" s="614">
        <v>3.04</v>
      </c>
      <c r="BZ85" s="637">
        <v>3.75</v>
      </c>
      <c r="CA85" s="638">
        <v>3.64</v>
      </c>
      <c r="CB85" s="614">
        <v>3.16</v>
      </c>
      <c r="CC85" s="636">
        <v>2.91</v>
      </c>
      <c r="CD85" s="618">
        <v>2.7</v>
      </c>
      <c r="CE85" s="614">
        <v>2.44</v>
      </c>
    </row>
    <row r="86" spans="2:83" ht="15" customHeight="1" x14ac:dyDescent="0.25">
      <c r="B86" s="570" t="s">
        <v>96</v>
      </c>
      <c r="C86" s="646">
        <v>4.0325000000000006</v>
      </c>
      <c r="D86" s="618">
        <v>3.0368467770000001</v>
      </c>
      <c r="E86" s="614">
        <v>3.69</v>
      </c>
      <c r="F86" s="637">
        <v>4.2879680444256456</v>
      </c>
      <c r="G86" s="638">
        <v>4.1649388305852577</v>
      </c>
      <c r="H86" s="614">
        <v>3.6965944723029134</v>
      </c>
      <c r="I86" s="496">
        <v>3.0283200000000003</v>
      </c>
      <c r="J86" s="496">
        <v>2.8769040000000001</v>
      </c>
      <c r="K86" s="211">
        <v>2.9526120000000002</v>
      </c>
      <c r="N86" s="570" t="s">
        <v>96</v>
      </c>
      <c r="O86" s="646">
        <v>3.7699999999999996</v>
      </c>
      <c r="P86" s="618">
        <v>3.6375000000000002</v>
      </c>
      <c r="Q86" s="614">
        <v>3.22</v>
      </c>
      <c r="R86" s="637">
        <v>4.0528422603129375</v>
      </c>
      <c r="S86" s="638">
        <v>3.8979080887333959</v>
      </c>
      <c r="T86" s="614">
        <v>3.425732839144449</v>
      </c>
      <c r="U86" s="496">
        <v>3.06</v>
      </c>
      <c r="V86" s="496">
        <v>2.92</v>
      </c>
      <c r="W86" s="211">
        <v>2.62</v>
      </c>
      <c r="Z86" s="570" t="s">
        <v>96</v>
      </c>
      <c r="AA86" s="646">
        <v>3.3925000000000001</v>
      </c>
      <c r="AB86" s="618">
        <v>3.2350000000000003</v>
      </c>
      <c r="AC86" s="614">
        <v>2.82</v>
      </c>
      <c r="AD86" s="637">
        <v>3.8842098346300862</v>
      </c>
      <c r="AE86" s="638">
        <v>3.6864901369763716</v>
      </c>
      <c r="AF86" s="614">
        <v>3.0898774272862419</v>
      </c>
      <c r="AG86" s="496">
        <v>2.61</v>
      </c>
      <c r="AH86" s="496">
        <v>2.46</v>
      </c>
      <c r="AI86" s="211">
        <v>2.23</v>
      </c>
      <c r="AL86" s="570" t="s">
        <v>96</v>
      </c>
      <c r="AM86" s="646">
        <v>3.39</v>
      </c>
      <c r="AN86" s="618">
        <v>3.2</v>
      </c>
      <c r="AO86" s="614">
        <v>2.83</v>
      </c>
      <c r="AP86" s="637">
        <v>3.9238079461601689</v>
      </c>
      <c r="AQ86" s="638">
        <v>3.7625073425197617</v>
      </c>
      <c r="AR86" s="614">
        <v>3.1506192912126494</v>
      </c>
      <c r="AS86" s="656">
        <v>2.5740720000000001</v>
      </c>
      <c r="AT86" s="453">
        <v>2.3848020000000001</v>
      </c>
      <c r="AU86" s="211">
        <v>2.1576779999999998</v>
      </c>
      <c r="AX86" s="570" t="s">
        <v>96</v>
      </c>
      <c r="AY86" s="646">
        <v>4.3300623493325201</v>
      </c>
      <c r="AZ86" s="618">
        <v>4.0218102909814553</v>
      </c>
      <c r="BA86" s="614">
        <v>3.8084899319489605</v>
      </c>
      <c r="BB86" s="637">
        <v>5.2759600552903718</v>
      </c>
      <c r="BC86" s="638">
        <v>5.0149407985153953</v>
      </c>
      <c r="BD86" s="614">
        <v>4.4307437206813907</v>
      </c>
      <c r="BE86" s="636">
        <v>3.67</v>
      </c>
      <c r="BF86" s="496">
        <v>3.29</v>
      </c>
      <c r="BG86" s="211">
        <v>3.22</v>
      </c>
      <c r="BJ86" s="570" t="s">
        <v>96</v>
      </c>
      <c r="BK86" s="646">
        <v>3.9940000000000007</v>
      </c>
      <c r="BL86" s="618">
        <v>3.8259999999999996</v>
      </c>
      <c r="BM86" s="614">
        <v>3.62</v>
      </c>
      <c r="BN86" s="637">
        <v>4.3159999999999998</v>
      </c>
      <c r="BO86" s="638">
        <v>4.1240000000000006</v>
      </c>
      <c r="BP86" s="614">
        <v>3.694</v>
      </c>
      <c r="BQ86" s="636">
        <v>3.2613333333333334</v>
      </c>
      <c r="BR86" s="618">
        <v>3.0373333333333337</v>
      </c>
      <c r="BS86" s="614">
        <v>2.8956666666666666</v>
      </c>
      <c r="BV86" s="570" t="s">
        <v>96</v>
      </c>
      <c r="BW86" s="646">
        <v>3.71</v>
      </c>
      <c r="BX86" s="618">
        <v>3.62</v>
      </c>
      <c r="BY86" s="614">
        <v>3.21</v>
      </c>
      <c r="BZ86" s="637">
        <v>3.66</v>
      </c>
      <c r="CA86" s="638">
        <v>3.51</v>
      </c>
      <c r="CB86" s="614">
        <v>3.14</v>
      </c>
      <c r="CC86" s="636">
        <v>3.08</v>
      </c>
      <c r="CD86" s="618">
        <v>2.89</v>
      </c>
      <c r="CE86" s="614">
        <v>2.62</v>
      </c>
    </row>
    <row r="87" spans="2:83" ht="15" customHeight="1" thickBot="1" x14ac:dyDescent="0.3">
      <c r="B87" s="604" t="s">
        <v>146</v>
      </c>
      <c r="C87" s="647">
        <v>3.5620000000000003</v>
      </c>
      <c r="D87" s="640">
        <v>2.6914279319999994</v>
      </c>
      <c r="E87" s="641">
        <v>3.3200000000000003</v>
      </c>
      <c r="F87" s="642">
        <v>4.0042290596152252</v>
      </c>
      <c r="G87" s="643">
        <v>3.9350822469688089</v>
      </c>
      <c r="H87" s="641">
        <v>3.6860156547185845</v>
      </c>
      <c r="I87" s="496">
        <v>2.7633420000000002</v>
      </c>
      <c r="J87" s="745">
        <v>2.6497799999999998</v>
      </c>
      <c r="K87" s="211">
        <v>2.611926</v>
      </c>
      <c r="M87" s="728"/>
      <c r="N87" s="604" t="s">
        <v>146</v>
      </c>
      <c r="O87" s="647">
        <v>3.6875</v>
      </c>
      <c r="P87" s="640">
        <v>3.58</v>
      </c>
      <c r="Q87" s="641">
        <v>3.2275</v>
      </c>
      <c r="R87" s="642">
        <v>4.18279247554403</v>
      </c>
      <c r="S87" s="643">
        <v>4.0303733243696476</v>
      </c>
      <c r="T87" s="641">
        <v>3.5008389345977209</v>
      </c>
      <c r="U87" s="496">
        <v>2.97</v>
      </c>
      <c r="V87" s="745">
        <v>2.88</v>
      </c>
      <c r="W87" s="211">
        <v>2.69</v>
      </c>
      <c r="Z87" s="604" t="s">
        <v>146</v>
      </c>
      <c r="AA87" s="647">
        <v>3.54</v>
      </c>
      <c r="AB87" s="640">
        <v>3.38</v>
      </c>
      <c r="AC87" s="641">
        <v>2.9174999999999995</v>
      </c>
      <c r="AD87" s="642">
        <v>3.8095402871824362</v>
      </c>
      <c r="AE87" s="643">
        <v>3.5703365140328986</v>
      </c>
      <c r="AF87" s="641">
        <v>2.9018263010604821</v>
      </c>
      <c r="AG87" s="496">
        <v>2.8</v>
      </c>
      <c r="AH87" s="745">
        <v>2.65</v>
      </c>
      <c r="AI87" s="211">
        <v>2.35</v>
      </c>
      <c r="AL87" s="604" t="s">
        <v>146</v>
      </c>
      <c r="AM87" s="647">
        <v>3.3</v>
      </c>
      <c r="AN87" s="640">
        <v>3.16</v>
      </c>
      <c r="AO87" s="641">
        <v>2.57</v>
      </c>
      <c r="AP87" s="642">
        <v>3.9199980593605241</v>
      </c>
      <c r="AQ87" s="643">
        <v>3.7587101248966741</v>
      </c>
      <c r="AR87" s="641">
        <v>3.1486209814899384</v>
      </c>
      <c r="AS87" s="656">
        <v>2.498364</v>
      </c>
      <c r="AT87" s="727">
        <v>2.3469480000000003</v>
      </c>
      <c r="AU87" s="211">
        <v>1.8927</v>
      </c>
      <c r="AX87" s="604" t="s">
        <v>146</v>
      </c>
      <c r="AY87" s="647">
        <v>3.7514730536542031</v>
      </c>
      <c r="AZ87" s="640">
        <v>3.5467797268741057</v>
      </c>
      <c r="BA87" s="641">
        <v>3.3851065569084056</v>
      </c>
      <c r="BB87" s="642">
        <v>4.8777965754517947</v>
      </c>
      <c r="BC87" s="643">
        <v>4.6363581397285945</v>
      </c>
      <c r="BD87" s="641">
        <v>4.2660930715907153</v>
      </c>
      <c r="BE87" s="639">
        <v>2.99</v>
      </c>
      <c r="BF87" s="496">
        <v>2.8</v>
      </c>
      <c r="BG87" s="211">
        <v>2.76</v>
      </c>
      <c r="BJ87" s="604" t="s">
        <v>146</v>
      </c>
      <c r="BK87" s="647">
        <v>3.68</v>
      </c>
      <c r="BL87" s="640">
        <v>3.59</v>
      </c>
      <c r="BM87" s="641">
        <v>3.23</v>
      </c>
      <c r="BN87" s="642">
        <v>3.77</v>
      </c>
      <c r="BO87" s="643">
        <v>3.67</v>
      </c>
      <c r="BP87" s="641">
        <v>3.27</v>
      </c>
      <c r="BQ87" s="639">
        <v>3.02</v>
      </c>
      <c r="BR87" s="640">
        <v>2.85</v>
      </c>
      <c r="BS87" s="641">
        <v>2.58</v>
      </c>
      <c r="BV87" s="604" t="s">
        <v>146</v>
      </c>
      <c r="BW87" s="647">
        <v>3.68</v>
      </c>
      <c r="BX87" s="640">
        <v>3.59</v>
      </c>
      <c r="BY87" s="641">
        <v>3.23</v>
      </c>
      <c r="BZ87" s="642">
        <v>3.77</v>
      </c>
      <c r="CA87" s="643">
        <v>3.67</v>
      </c>
      <c r="CB87" s="641">
        <v>3.27</v>
      </c>
      <c r="CC87" s="639">
        <v>3.02</v>
      </c>
      <c r="CD87" s="640">
        <v>2.85</v>
      </c>
      <c r="CE87" s="641">
        <v>2.58</v>
      </c>
    </row>
    <row r="88" spans="2:83" ht="15" customHeight="1" thickBot="1" x14ac:dyDescent="0.3">
      <c r="B88" s="597" t="s">
        <v>147</v>
      </c>
      <c r="C88" s="644">
        <f t="shared" ref="C88:K88" si="11">AVERAGE(C76:C87)</f>
        <v>3.9557083333333325</v>
      </c>
      <c r="D88" s="610">
        <f t="shared" si="11"/>
        <v>3.0911106907833332</v>
      </c>
      <c r="E88" s="611">
        <f t="shared" si="11"/>
        <v>3.4655416666666663</v>
      </c>
      <c r="F88" s="644">
        <f t="shared" si="11"/>
        <v>4.2878608262413245</v>
      </c>
      <c r="G88" s="610">
        <f t="shared" si="11"/>
        <v>4.1531350287103246</v>
      </c>
      <c r="H88" s="611">
        <f t="shared" si="11"/>
        <v>3.6246324422271705</v>
      </c>
      <c r="I88" s="644">
        <f t="shared" si="11"/>
        <v>3.1797360000000001</v>
      </c>
      <c r="J88" s="610">
        <f t="shared" si="11"/>
        <v>3.0756375000000009</v>
      </c>
      <c r="K88" s="611">
        <f t="shared" si="11"/>
        <v>2.857977</v>
      </c>
      <c r="N88" s="597" t="s">
        <v>147</v>
      </c>
      <c r="O88" s="644">
        <f t="shared" ref="O88:W88" si="12">AVERAGE(O76:O87)</f>
        <v>3.6552083333333329</v>
      </c>
      <c r="P88" s="610">
        <f t="shared" si="12"/>
        <v>3.5218749999999996</v>
      </c>
      <c r="Q88" s="611">
        <f t="shared" si="12"/>
        <v>2.9985416666666662</v>
      </c>
      <c r="R88" s="644">
        <f t="shared" si="12"/>
        <v>3.9945581893086768</v>
      </c>
      <c r="S88" s="610">
        <f t="shared" si="12"/>
        <v>3.8142408294175851</v>
      </c>
      <c r="T88" s="611">
        <f t="shared" si="12"/>
        <v>3.1780129938963917</v>
      </c>
      <c r="U88" s="644">
        <f t="shared" si="12"/>
        <v>2.89</v>
      </c>
      <c r="V88" s="610">
        <f t="shared" si="12"/>
        <v>2.7666666666666671</v>
      </c>
      <c r="W88" s="611">
        <f t="shared" si="12"/>
        <v>2.3933333333333335</v>
      </c>
      <c r="Z88" s="597" t="s">
        <v>147</v>
      </c>
      <c r="AA88" s="644">
        <f t="shared" ref="AA88:AI88" si="13">AVERAGE(AA76:AA87)</f>
        <v>3.3988366824904417</v>
      </c>
      <c r="AB88" s="610">
        <f t="shared" si="13"/>
        <v>3.2592004599210331</v>
      </c>
      <c r="AC88" s="611">
        <f t="shared" si="13"/>
        <v>2.7010308301488943</v>
      </c>
      <c r="AD88" s="644">
        <f t="shared" si="13"/>
        <v>3.7294476922794835</v>
      </c>
      <c r="AE88" s="610">
        <f t="shared" si="13"/>
        <v>3.5615858582986006</v>
      </c>
      <c r="AF88" s="611">
        <f t="shared" si="13"/>
        <v>2.8755287563101066</v>
      </c>
      <c r="AG88" s="644">
        <f t="shared" si="13"/>
        <v>2.5933333333333333</v>
      </c>
      <c r="AH88" s="610">
        <f t="shared" si="13"/>
        <v>2.4600000000000004</v>
      </c>
      <c r="AI88" s="611">
        <f t="shared" si="13"/>
        <v>2.0746276666666668</v>
      </c>
      <c r="AL88" s="597" t="s">
        <v>147</v>
      </c>
      <c r="AM88" s="644">
        <f t="shared" ref="AM88:AU88" si="14">AVERAGE(AM76:AM87)</f>
        <v>3.7841666666666671</v>
      </c>
      <c r="AN88" s="610">
        <f t="shared" si="14"/>
        <v>3.5450000000000004</v>
      </c>
      <c r="AO88" s="611">
        <f t="shared" si="14"/>
        <v>3.0483333333333333</v>
      </c>
      <c r="AP88" s="644">
        <f t="shared" si="14"/>
        <v>4.2099246067706186</v>
      </c>
      <c r="AQ88" s="610">
        <f t="shared" si="14"/>
        <v>4.004134821949239</v>
      </c>
      <c r="AR88" s="611">
        <f t="shared" si="14"/>
        <v>3.369878118672339</v>
      </c>
      <c r="AS88" s="644">
        <f t="shared" si="14"/>
        <v>2.9620754999999996</v>
      </c>
      <c r="AT88" s="610">
        <f t="shared" si="14"/>
        <v>2.7317969999999998</v>
      </c>
      <c r="AU88" s="611">
        <f t="shared" si="14"/>
        <v>2.3595660000000005</v>
      </c>
      <c r="AX88" s="597" t="s">
        <v>147</v>
      </c>
      <c r="AY88" s="644">
        <f t="shared" ref="AY88:BG88" si="15">AVERAGE(AY76:AY87)</f>
        <v>4.7836021277000738</v>
      </c>
      <c r="AZ88" s="610">
        <f t="shared" si="15"/>
        <v>4.5282228296948803</v>
      </c>
      <c r="BA88" s="611">
        <f t="shared" si="15"/>
        <v>4.1671309081715178</v>
      </c>
      <c r="BB88" s="644">
        <f t="shared" si="15"/>
        <v>5.2113004733660979</v>
      </c>
      <c r="BC88" s="610">
        <f t="shared" si="15"/>
        <v>5.016923708001598</v>
      </c>
      <c r="BD88" s="611">
        <f t="shared" si="15"/>
        <v>4.54683177749921</v>
      </c>
      <c r="BE88" s="644">
        <f t="shared" si="15"/>
        <v>4.0408333333333335</v>
      </c>
      <c r="BF88" s="610">
        <f t="shared" si="15"/>
        <v>3.7883333333333327</v>
      </c>
      <c r="BG88" s="611">
        <f t="shared" si="15"/>
        <v>3.5324999999999993</v>
      </c>
      <c r="BJ88" s="597" t="s">
        <v>147</v>
      </c>
      <c r="BK88" s="644">
        <f>AVERAGE(BK76:BK87)</f>
        <v>3.8629583333333333</v>
      </c>
      <c r="BL88" s="610">
        <f>AVERAGE(BL76:BL87)</f>
        <v>3.7508333333333339</v>
      </c>
      <c r="BM88" s="611">
        <f>AVERAGE(BM76:BM87)</f>
        <v>3.369124999999999</v>
      </c>
      <c r="BN88" s="644">
        <f t="shared" ref="BN88:BS88" si="16">AVERAGE(BN76:BN87)</f>
        <v>4.2093750000000005</v>
      </c>
      <c r="BO88" s="610">
        <f t="shared" si="16"/>
        <v>4.0226250000000006</v>
      </c>
      <c r="BP88" s="611">
        <f t="shared" si="16"/>
        <v>3.5494583333333338</v>
      </c>
      <c r="BQ88" s="644">
        <f t="shared" si="16"/>
        <v>3.1626889400921656</v>
      </c>
      <c r="BR88" s="610">
        <f t="shared" si="16"/>
        <v>2.9688845366103429</v>
      </c>
      <c r="BS88" s="611">
        <f t="shared" si="16"/>
        <v>2.6885049923195088</v>
      </c>
      <c r="BV88" s="597" t="s">
        <v>147</v>
      </c>
      <c r="BW88" s="644">
        <f t="shared" ref="BW88:CE88" si="17">AVERAGE(BW76:BW87)</f>
        <v>3.3916666666666662</v>
      </c>
      <c r="BX88" s="610">
        <f t="shared" si="17"/>
        <v>3.2974999999999994</v>
      </c>
      <c r="BY88" s="611">
        <f t="shared" si="17"/>
        <v>2.8474999999999997</v>
      </c>
      <c r="BZ88" s="644">
        <f t="shared" si="17"/>
        <v>3.3616666666666677</v>
      </c>
      <c r="CA88" s="610">
        <f t="shared" si="17"/>
        <v>3.2683333333333331</v>
      </c>
      <c r="CB88" s="611">
        <f t="shared" si="17"/>
        <v>2.9283333333333332</v>
      </c>
      <c r="CC88" s="644">
        <f t="shared" si="17"/>
        <v>2.7650000000000006</v>
      </c>
      <c r="CD88" s="610">
        <f t="shared" si="17"/>
        <v>2.5791666666666666</v>
      </c>
      <c r="CE88" s="611">
        <f t="shared" si="17"/>
        <v>2.2416666666666667</v>
      </c>
    </row>
    <row r="89" spans="2:83" ht="15" customHeight="1" x14ac:dyDescent="0.25">
      <c r="B89"/>
      <c r="C89"/>
      <c r="D89"/>
      <c r="E89"/>
      <c r="F89"/>
      <c r="G89"/>
      <c r="H89"/>
      <c r="I89"/>
      <c r="J89"/>
      <c r="K89"/>
      <c r="AX89"/>
      <c r="AY89"/>
      <c r="AZ89"/>
      <c r="BA89"/>
      <c r="BB89"/>
      <c r="BC89"/>
      <c r="BD89"/>
      <c r="BE89"/>
      <c r="BF89"/>
      <c r="BG89"/>
      <c r="BJ89"/>
      <c r="BK89"/>
      <c r="BL89"/>
      <c r="BM89"/>
      <c r="BN89"/>
      <c r="BO89"/>
      <c r="BP89"/>
      <c r="BQ89"/>
      <c r="BR89"/>
      <c r="BS89"/>
      <c r="BV89" s="47"/>
    </row>
    <row r="90" spans="2:83" ht="15" customHeight="1" x14ac:dyDescent="0.25">
      <c r="B90" s="212" t="s">
        <v>290</v>
      </c>
      <c r="C90" s="14"/>
      <c r="D90" s="14"/>
      <c r="E90" s="14"/>
      <c r="F90" s="14"/>
      <c r="G90" s="14"/>
      <c r="H90" s="14"/>
      <c r="I90" s="14"/>
      <c r="J90" s="14"/>
      <c r="K90" s="14"/>
      <c r="L90" s="47"/>
      <c r="M90" s="47"/>
      <c r="N90" s="212" t="s">
        <v>290</v>
      </c>
      <c r="O90" s="14"/>
      <c r="P90" s="14"/>
      <c r="Q90" s="14"/>
      <c r="R90" s="14"/>
      <c r="S90" s="14"/>
      <c r="T90" s="14"/>
      <c r="U90" s="14"/>
      <c r="V90" s="14"/>
      <c r="W90" s="14"/>
      <c r="Z90" s="212" t="s">
        <v>290</v>
      </c>
      <c r="AA90" s="14"/>
      <c r="AB90" s="14"/>
      <c r="AC90" s="14"/>
      <c r="AD90" s="14"/>
      <c r="AE90" s="14"/>
      <c r="AF90" s="14"/>
      <c r="AG90" s="14"/>
      <c r="AH90" s="14"/>
      <c r="AI90" s="14"/>
      <c r="AL90" s="212" t="s">
        <v>290</v>
      </c>
      <c r="AM90" s="14"/>
      <c r="AN90" s="14"/>
      <c r="AO90" s="14"/>
      <c r="AP90" s="14"/>
      <c r="AQ90" s="14"/>
      <c r="AR90" s="14"/>
      <c r="AS90" s="14"/>
      <c r="AT90" s="14"/>
      <c r="AU90" s="14"/>
      <c r="AX90" s="212" t="s">
        <v>290</v>
      </c>
      <c r="AY90" s="14"/>
      <c r="AZ90" s="14"/>
      <c r="BA90" s="14"/>
      <c r="BB90" s="14"/>
      <c r="BC90" s="14"/>
      <c r="BD90" s="14"/>
      <c r="BE90" s="14"/>
      <c r="BF90" s="14"/>
      <c r="BG90" s="14"/>
      <c r="BJ90" s="212" t="s">
        <v>290</v>
      </c>
      <c r="BK90" s="14"/>
      <c r="BL90" s="14"/>
      <c r="BM90" s="14"/>
      <c r="BN90" s="14"/>
      <c r="BO90" s="14"/>
      <c r="BP90" s="14"/>
      <c r="BQ90" s="14"/>
      <c r="BR90" s="14"/>
      <c r="BS90" s="14"/>
      <c r="BV90" s="212" t="s">
        <v>228</v>
      </c>
      <c r="BW90" s="14"/>
      <c r="BX90" s="14"/>
      <c r="BY90" s="14"/>
      <c r="BZ90" s="14"/>
      <c r="CA90" s="14"/>
      <c r="CB90" s="14"/>
      <c r="CC90" s="14"/>
      <c r="CD90" s="14"/>
      <c r="CE90" s="14"/>
    </row>
    <row r="91" spans="2:83" ht="18.75" customHeight="1" x14ac:dyDescent="0.25">
      <c r="B91" s="963" t="s">
        <v>229</v>
      </c>
      <c r="C91" s="963"/>
      <c r="D91" s="963"/>
      <c r="E91" s="963"/>
      <c r="F91" s="963"/>
      <c r="G91" s="963"/>
      <c r="H91" s="963"/>
      <c r="I91" s="963"/>
      <c r="J91" s="963"/>
      <c r="K91" s="963"/>
      <c r="L91" s="47"/>
      <c r="M91" s="47"/>
      <c r="N91" s="963" t="s">
        <v>229</v>
      </c>
      <c r="O91" s="963"/>
      <c r="P91" s="963"/>
      <c r="Q91" s="963"/>
      <c r="R91" s="963"/>
      <c r="S91" s="963"/>
      <c r="T91" s="963"/>
      <c r="U91" s="963"/>
      <c r="V91" s="963"/>
      <c r="W91" s="963"/>
      <c r="Z91" s="963" t="s">
        <v>229</v>
      </c>
      <c r="AA91" s="963"/>
      <c r="AB91" s="963"/>
      <c r="AC91" s="963"/>
      <c r="AD91" s="963"/>
      <c r="AE91" s="963"/>
      <c r="AF91" s="963"/>
      <c r="AG91" s="963"/>
      <c r="AH91" s="963"/>
      <c r="AI91" s="963"/>
      <c r="AL91" s="963" t="s">
        <v>229</v>
      </c>
      <c r="AM91" s="963"/>
      <c r="AN91" s="963"/>
      <c r="AO91" s="963"/>
      <c r="AP91" s="963"/>
      <c r="AQ91" s="963"/>
      <c r="AR91" s="963"/>
      <c r="AS91" s="963"/>
      <c r="AT91" s="963"/>
      <c r="AU91" s="963"/>
      <c r="AX91" s="963" t="s">
        <v>229</v>
      </c>
      <c r="AY91" s="963"/>
      <c r="AZ91" s="963"/>
      <c r="BA91" s="963"/>
      <c r="BB91" s="963"/>
      <c r="BC91" s="963"/>
      <c r="BD91" s="963"/>
      <c r="BE91" s="963"/>
      <c r="BF91" s="963"/>
      <c r="BG91" s="963"/>
      <c r="BJ91" s="963" t="s">
        <v>229</v>
      </c>
      <c r="BK91" s="963"/>
      <c r="BL91" s="963"/>
      <c r="BM91" s="963"/>
      <c r="BN91" s="963"/>
      <c r="BO91" s="963"/>
      <c r="BP91" s="963"/>
      <c r="BQ91" s="963"/>
      <c r="BR91" s="963"/>
      <c r="BS91" s="963"/>
      <c r="BV91" s="963" t="s">
        <v>229</v>
      </c>
      <c r="BW91" s="963"/>
      <c r="BX91" s="963"/>
      <c r="BY91" s="963"/>
      <c r="BZ91" s="963"/>
      <c r="CA91" s="963"/>
      <c r="CB91" s="963"/>
      <c r="CC91" s="963"/>
      <c r="CD91" s="963"/>
      <c r="CE91" s="963"/>
    </row>
    <row r="92" spans="2:83" ht="18.75" customHeight="1" x14ac:dyDescent="0.25">
      <c r="B92" s="963" t="s">
        <v>230</v>
      </c>
      <c r="C92" s="963"/>
      <c r="D92" s="963"/>
      <c r="E92" s="963"/>
      <c r="F92" s="963"/>
      <c r="G92" s="963"/>
      <c r="H92" s="963"/>
      <c r="I92" s="963"/>
      <c r="J92" s="963"/>
      <c r="K92" s="963"/>
      <c r="L92" s="47"/>
      <c r="M92" s="47"/>
      <c r="N92" s="963" t="s">
        <v>230</v>
      </c>
      <c r="O92" s="963"/>
      <c r="P92" s="963"/>
      <c r="Q92" s="963"/>
      <c r="R92" s="963"/>
      <c r="S92" s="963"/>
      <c r="T92" s="963"/>
      <c r="U92" s="963"/>
      <c r="V92" s="963"/>
      <c r="W92" s="963"/>
      <c r="Z92" s="963" t="s">
        <v>230</v>
      </c>
      <c r="AA92" s="963"/>
      <c r="AB92" s="963"/>
      <c r="AC92" s="963"/>
      <c r="AD92" s="963"/>
      <c r="AE92" s="963"/>
      <c r="AF92" s="963"/>
      <c r="AG92" s="963"/>
      <c r="AH92" s="963"/>
      <c r="AI92" s="963"/>
      <c r="AL92" s="963" t="s">
        <v>230</v>
      </c>
      <c r="AM92" s="963"/>
      <c r="AN92" s="963"/>
      <c r="AO92" s="963"/>
      <c r="AP92" s="963"/>
      <c r="AQ92" s="963"/>
      <c r="AR92" s="963"/>
      <c r="AS92" s="963"/>
      <c r="AT92" s="963"/>
      <c r="AU92" s="963"/>
      <c r="AX92" s="963" t="s">
        <v>230</v>
      </c>
      <c r="AY92" s="963"/>
      <c r="AZ92" s="963"/>
      <c r="BA92" s="963"/>
      <c r="BB92" s="963"/>
      <c r="BC92" s="963"/>
      <c r="BD92" s="963"/>
      <c r="BE92" s="963"/>
      <c r="BF92" s="963"/>
      <c r="BG92" s="963"/>
      <c r="BJ92" s="963" t="s">
        <v>230</v>
      </c>
      <c r="BK92" s="963"/>
      <c r="BL92" s="963"/>
      <c r="BM92" s="963"/>
      <c r="BN92" s="963"/>
      <c r="BO92" s="963"/>
      <c r="BP92" s="963"/>
      <c r="BQ92" s="963"/>
      <c r="BR92" s="963"/>
      <c r="BS92" s="963"/>
      <c r="BV92" s="963" t="s">
        <v>230</v>
      </c>
      <c r="BW92" s="963"/>
      <c r="BX92" s="963"/>
      <c r="BY92" s="963"/>
      <c r="BZ92" s="963"/>
      <c r="CA92" s="963"/>
      <c r="CB92" s="963"/>
      <c r="CC92" s="963"/>
      <c r="CD92" s="963"/>
      <c r="CE92" s="963"/>
    </row>
    <row r="93" spans="2:83" ht="15" customHeight="1" x14ac:dyDescent="0.25">
      <c r="B93"/>
      <c r="C93"/>
      <c r="D93"/>
      <c r="E93"/>
      <c r="F93"/>
      <c r="G93"/>
      <c r="H93"/>
      <c r="I93"/>
      <c r="J93"/>
      <c r="K93"/>
      <c r="L93" s="47"/>
      <c r="M93" s="47"/>
      <c r="N93" s="47"/>
      <c r="BV93" s="47"/>
    </row>
    <row r="94" spans="2:83" ht="15" customHeight="1" x14ac:dyDescent="0.25">
      <c r="B94"/>
      <c r="C94"/>
      <c r="D94"/>
      <c r="E94"/>
      <c r="F94"/>
      <c r="G94"/>
      <c r="H94"/>
      <c r="I94"/>
      <c r="J94"/>
      <c r="K94"/>
      <c r="L94" s="47"/>
      <c r="M94" s="47"/>
      <c r="N94" s="47"/>
      <c r="BV94" s="47"/>
    </row>
    <row r="95" spans="2:83" ht="15" customHeight="1" x14ac:dyDescent="0.25">
      <c r="B95"/>
      <c r="C95"/>
      <c r="D95"/>
      <c r="E95"/>
      <c r="F95"/>
      <c r="G95"/>
      <c r="H95"/>
      <c r="I95"/>
      <c r="J95"/>
      <c r="K95"/>
      <c r="L95" s="41"/>
      <c r="M95" s="41"/>
      <c r="N95" s="41"/>
    </row>
    <row r="96" spans="2:83" ht="15" customHeight="1" x14ac:dyDescent="0.25">
      <c r="B96"/>
      <c r="C96"/>
      <c r="D96"/>
      <c r="E96"/>
      <c r="F96"/>
      <c r="G96"/>
      <c r="H96"/>
      <c r="I96"/>
      <c r="J96"/>
      <c r="K96"/>
      <c r="L96" s="41"/>
      <c r="M96" s="41"/>
      <c r="N96" s="41"/>
    </row>
    <row r="97" spans="2:14" ht="15" customHeight="1" x14ac:dyDescent="0.25">
      <c r="B97"/>
      <c r="C97"/>
      <c r="D97"/>
      <c r="E97"/>
      <c r="F97"/>
      <c r="G97"/>
      <c r="H97"/>
      <c r="I97"/>
      <c r="J97"/>
      <c r="K97"/>
      <c r="L97" s="41"/>
      <c r="M97" s="41"/>
      <c r="N97" s="41"/>
    </row>
    <row r="98" spans="2:14" ht="15" customHeight="1" x14ac:dyDescent="0.25">
      <c r="B98"/>
      <c r="C98"/>
      <c r="D98"/>
      <c r="E98"/>
      <c r="F98"/>
      <c r="G98"/>
      <c r="H98"/>
      <c r="I98"/>
      <c r="J98"/>
      <c r="K98"/>
      <c r="L98" s="41"/>
      <c r="M98" s="41"/>
      <c r="N98" s="41"/>
    </row>
    <row r="99" spans="2:14" ht="15" customHeight="1" x14ac:dyDescent="0.25">
      <c r="B99"/>
      <c r="C99"/>
      <c r="D99"/>
      <c r="E99"/>
      <c r="F99"/>
      <c r="G99"/>
      <c r="H99"/>
      <c r="I99"/>
      <c r="J99"/>
      <c r="K99"/>
      <c r="L99" s="41"/>
      <c r="M99" s="41"/>
      <c r="N99" s="41"/>
    </row>
    <row r="100" spans="2:14" ht="15" customHeight="1" x14ac:dyDescent="0.25">
      <c r="B100"/>
      <c r="C100"/>
      <c r="D100"/>
      <c r="E100"/>
      <c r="F100"/>
      <c r="G100"/>
      <c r="H100"/>
      <c r="I100"/>
      <c r="J100"/>
      <c r="K100"/>
      <c r="L100" s="41"/>
      <c r="M100" s="41"/>
      <c r="N100" s="41"/>
    </row>
    <row r="101" spans="2:14" ht="15" customHeight="1" x14ac:dyDescent="0.25">
      <c r="B101"/>
      <c r="C101"/>
      <c r="D101"/>
      <c r="E101"/>
      <c r="F101"/>
      <c r="G101"/>
      <c r="H101"/>
      <c r="I101"/>
      <c r="J101"/>
      <c r="K101"/>
      <c r="L101" s="41"/>
      <c r="M101" s="41"/>
      <c r="N101" s="41"/>
    </row>
    <row r="102" spans="2:14" ht="15" customHeight="1" x14ac:dyDescent="0.25">
      <c r="B102"/>
      <c r="C102"/>
      <c r="D102"/>
      <c r="E102"/>
      <c r="F102"/>
      <c r="G102"/>
      <c r="H102"/>
      <c r="I102"/>
      <c r="J102"/>
      <c r="K102"/>
      <c r="L102" s="41"/>
      <c r="M102" s="41"/>
      <c r="N102" s="41"/>
    </row>
    <row r="103" spans="2:14" ht="15" customHeight="1" x14ac:dyDescent="0.25">
      <c r="B103"/>
      <c r="C103"/>
      <c r="D103"/>
      <c r="E103"/>
      <c r="F103"/>
      <c r="G103"/>
      <c r="H103"/>
      <c r="I103"/>
      <c r="J103"/>
      <c r="K103"/>
      <c r="L103" s="41"/>
      <c r="M103" s="41"/>
      <c r="N103" s="41"/>
    </row>
    <row r="104" spans="2:14" ht="15" customHeight="1" x14ac:dyDescent="0.25">
      <c r="B104"/>
      <c r="C104"/>
      <c r="D104"/>
      <c r="E104"/>
      <c r="F104"/>
      <c r="G104"/>
      <c r="H104"/>
      <c r="I104"/>
      <c r="J104"/>
      <c r="K104"/>
      <c r="L104" s="41"/>
      <c r="M104" s="41"/>
      <c r="N104" s="41"/>
    </row>
    <row r="105" spans="2:14" ht="15" customHeight="1" x14ac:dyDescent="0.25">
      <c r="B105"/>
      <c r="C105"/>
      <c r="D105"/>
      <c r="E105"/>
      <c r="F105"/>
      <c r="G105"/>
      <c r="H105"/>
      <c r="I105"/>
      <c r="J105"/>
      <c r="K105"/>
      <c r="L105" s="41"/>
      <c r="M105" s="41"/>
      <c r="N105" s="41"/>
    </row>
    <row r="106" spans="2:14" ht="15" customHeight="1" x14ac:dyDescent="0.25">
      <c r="B106"/>
      <c r="C106"/>
      <c r="D106"/>
      <c r="E106"/>
      <c r="F106"/>
      <c r="G106"/>
      <c r="H106"/>
      <c r="I106"/>
      <c r="J106"/>
      <c r="K106"/>
      <c r="L106" s="41"/>
      <c r="M106" s="41"/>
      <c r="N106" s="41"/>
    </row>
    <row r="107" spans="2:14" ht="15" customHeight="1" x14ac:dyDescent="0.25">
      <c r="B107"/>
      <c r="C107"/>
      <c r="D107"/>
      <c r="E107"/>
      <c r="F107"/>
      <c r="G107"/>
      <c r="H107"/>
      <c r="I107"/>
      <c r="J107"/>
      <c r="K107"/>
      <c r="L107" s="41"/>
      <c r="M107" s="41"/>
      <c r="N107" s="41"/>
    </row>
    <row r="108" spans="2:14" ht="15" customHeight="1" x14ac:dyDescent="0.25">
      <c r="B108"/>
      <c r="C108"/>
      <c r="D108"/>
      <c r="E108"/>
      <c r="F108"/>
      <c r="G108"/>
      <c r="H108"/>
      <c r="I108"/>
      <c r="J108"/>
      <c r="K108"/>
      <c r="L108" s="41"/>
      <c r="M108" s="41"/>
      <c r="N108" s="41"/>
    </row>
    <row r="109" spans="2:14" ht="15" customHeight="1" x14ac:dyDescent="0.25">
      <c r="B109"/>
      <c r="C109"/>
      <c r="D109"/>
      <c r="E109"/>
      <c r="F109"/>
      <c r="G109"/>
      <c r="H109"/>
      <c r="I109"/>
      <c r="J109"/>
      <c r="K109"/>
      <c r="L109" s="41"/>
      <c r="M109" s="41"/>
      <c r="N109" s="41"/>
    </row>
    <row r="110" spans="2:14" ht="15" customHeight="1" x14ac:dyDescent="0.25">
      <c r="B110"/>
      <c r="C110"/>
      <c r="D110"/>
      <c r="E110"/>
      <c r="F110"/>
      <c r="G110"/>
      <c r="H110"/>
      <c r="I110"/>
      <c r="J110"/>
      <c r="K110"/>
      <c r="L110" s="41"/>
      <c r="M110" s="41"/>
      <c r="N110" s="41"/>
    </row>
    <row r="111" spans="2:14" ht="15" customHeight="1" x14ac:dyDescent="0.25">
      <c r="B111"/>
      <c r="C111"/>
      <c r="D111"/>
      <c r="E111"/>
      <c r="F111"/>
      <c r="G111"/>
      <c r="H111"/>
      <c r="I111"/>
      <c r="J111"/>
      <c r="K111"/>
      <c r="L111" s="41"/>
      <c r="M111" s="41"/>
      <c r="N111" s="41"/>
    </row>
    <row r="112" spans="2:14" ht="15" customHeight="1" x14ac:dyDescent="0.25">
      <c r="B112"/>
      <c r="C112"/>
      <c r="D112"/>
      <c r="E112"/>
      <c r="F112"/>
      <c r="G112"/>
      <c r="H112"/>
      <c r="I112"/>
      <c r="J112"/>
      <c r="K112"/>
      <c r="L112" s="41"/>
      <c r="M112" s="41"/>
      <c r="N112" s="41"/>
    </row>
    <row r="113" spans="2:14" ht="15" customHeight="1" x14ac:dyDescent="0.25">
      <c r="B113"/>
      <c r="C113"/>
      <c r="D113"/>
      <c r="E113"/>
      <c r="F113"/>
      <c r="G113"/>
      <c r="H113"/>
      <c r="I113"/>
      <c r="J113"/>
      <c r="K113"/>
      <c r="L113" s="41"/>
      <c r="M113" s="41"/>
      <c r="N113" s="41"/>
    </row>
    <row r="114" spans="2:14" ht="15" customHeight="1" x14ac:dyDescent="0.25">
      <c r="B114"/>
      <c r="C114"/>
      <c r="D114"/>
      <c r="E114"/>
      <c r="F114"/>
      <c r="G114"/>
      <c r="H114"/>
      <c r="I114"/>
      <c r="J114"/>
      <c r="K114"/>
      <c r="L114" s="41"/>
      <c r="M114" s="41"/>
      <c r="N114" s="41"/>
    </row>
    <row r="115" spans="2:14" ht="15" customHeight="1" x14ac:dyDescent="0.25">
      <c r="B115"/>
      <c r="C115"/>
      <c r="D115"/>
      <c r="E115"/>
      <c r="F115"/>
      <c r="G115"/>
      <c r="H115"/>
      <c r="I115"/>
      <c r="J115"/>
      <c r="K115"/>
      <c r="L115" s="41"/>
      <c r="M115" s="41"/>
      <c r="N115" s="41"/>
    </row>
    <row r="116" spans="2:14" ht="15" customHeight="1" x14ac:dyDescent="0.25">
      <c r="B116"/>
      <c r="C116"/>
      <c r="D116"/>
      <c r="E116"/>
      <c r="F116"/>
      <c r="G116"/>
      <c r="H116"/>
      <c r="I116"/>
      <c r="J116"/>
      <c r="K116"/>
      <c r="L116" s="41"/>
      <c r="M116" s="41"/>
      <c r="N116" s="41"/>
    </row>
    <row r="117" spans="2:14" ht="15" customHeight="1" x14ac:dyDescent="0.25">
      <c r="B117"/>
      <c r="C117"/>
      <c r="D117"/>
      <c r="E117"/>
      <c r="F117"/>
      <c r="G117"/>
      <c r="H117"/>
      <c r="I117"/>
      <c r="J117"/>
      <c r="K117"/>
      <c r="L117" s="41"/>
      <c r="M117" s="41"/>
      <c r="N117" s="41"/>
    </row>
    <row r="118" spans="2:14" ht="15" customHeight="1" x14ac:dyDescent="0.25">
      <c r="B118"/>
      <c r="C118"/>
      <c r="D118"/>
      <c r="E118"/>
      <c r="F118"/>
      <c r="G118"/>
      <c r="H118"/>
      <c r="I118"/>
      <c r="J118"/>
      <c r="K118"/>
      <c r="L118" s="41"/>
      <c r="M118" s="41"/>
      <c r="N118" s="41"/>
    </row>
    <row r="119" spans="2:14" ht="15" customHeight="1" x14ac:dyDescent="0.25">
      <c r="B119"/>
      <c r="C119"/>
      <c r="D119"/>
      <c r="E119"/>
      <c r="F119"/>
      <c r="G119"/>
      <c r="H119"/>
      <c r="I119"/>
      <c r="J119"/>
      <c r="K119"/>
      <c r="L119" s="41"/>
      <c r="M119" s="41"/>
      <c r="N119" s="41"/>
    </row>
    <row r="120" spans="2:14" ht="15" customHeight="1" x14ac:dyDescent="0.25">
      <c r="B120"/>
      <c r="C120"/>
      <c r="D120"/>
      <c r="E120"/>
      <c r="F120"/>
      <c r="G120"/>
      <c r="H120"/>
      <c r="I120"/>
      <c r="J120"/>
      <c r="K120"/>
      <c r="L120" s="41"/>
      <c r="M120" s="41"/>
      <c r="N120" s="41"/>
    </row>
    <row r="121" spans="2:14" ht="15" customHeight="1" x14ac:dyDescent="0.25">
      <c r="B121"/>
      <c r="C121"/>
      <c r="D121"/>
      <c r="E121"/>
      <c r="F121"/>
      <c r="G121"/>
      <c r="H121"/>
      <c r="I121"/>
      <c r="J121"/>
      <c r="K121"/>
      <c r="L121" s="41"/>
      <c r="M121" s="41"/>
      <c r="N121" s="41"/>
    </row>
    <row r="122" spans="2:14" ht="15" customHeight="1" x14ac:dyDescent="0.25">
      <c r="B122"/>
      <c r="C122"/>
      <c r="D122"/>
      <c r="E122"/>
      <c r="F122"/>
      <c r="G122"/>
      <c r="H122"/>
      <c r="I122"/>
      <c r="J122"/>
      <c r="K122"/>
      <c r="L122" s="41"/>
      <c r="M122" s="41"/>
      <c r="N122" s="41"/>
    </row>
    <row r="123" spans="2:14" ht="15" customHeight="1" x14ac:dyDescent="0.25">
      <c r="B123"/>
      <c r="C123"/>
      <c r="D123"/>
      <c r="E123"/>
      <c r="F123"/>
      <c r="G123"/>
      <c r="H123"/>
      <c r="I123"/>
      <c r="J123"/>
      <c r="K123"/>
      <c r="L123" s="41"/>
      <c r="M123" s="41"/>
      <c r="N123" s="41"/>
    </row>
    <row r="124" spans="2:14" ht="15" customHeight="1" x14ac:dyDescent="0.25">
      <c r="B124"/>
      <c r="C124"/>
      <c r="D124"/>
      <c r="E124"/>
      <c r="F124"/>
      <c r="G124"/>
      <c r="H124"/>
      <c r="I124"/>
      <c r="J124"/>
      <c r="K124"/>
      <c r="L124" s="41"/>
      <c r="M124" s="41"/>
      <c r="N124" s="41"/>
    </row>
    <row r="125" spans="2:14" ht="15" customHeight="1" x14ac:dyDescent="0.25">
      <c r="B125"/>
      <c r="C125"/>
      <c r="D125"/>
      <c r="E125"/>
      <c r="F125"/>
      <c r="G125"/>
      <c r="H125"/>
      <c r="I125"/>
      <c r="J125"/>
      <c r="K125"/>
      <c r="L125" s="41"/>
      <c r="M125" s="41"/>
      <c r="N125" s="41"/>
    </row>
    <row r="126" spans="2:14" ht="15" customHeight="1" x14ac:dyDescent="0.25">
      <c r="B126"/>
      <c r="C126"/>
      <c r="D126"/>
      <c r="E126"/>
      <c r="F126"/>
      <c r="G126"/>
      <c r="H126"/>
      <c r="I126"/>
      <c r="J126"/>
      <c r="K126"/>
      <c r="L126" s="41"/>
      <c r="M126" s="41"/>
      <c r="N126" s="41"/>
    </row>
    <row r="127" spans="2:14" ht="15" customHeight="1" x14ac:dyDescent="0.25">
      <c r="B127"/>
      <c r="C127"/>
      <c r="D127"/>
      <c r="E127"/>
      <c r="F127"/>
      <c r="G127"/>
      <c r="H127"/>
      <c r="I127"/>
      <c r="J127"/>
      <c r="K127"/>
      <c r="L127" s="41"/>
      <c r="M127" s="41"/>
      <c r="N127" s="41"/>
    </row>
    <row r="128" spans="2:14" ht="15" customHeight="1" x14ac:dyDescent="0.25">
      <c r="B128"/>
      <c r="C128"/>
      <c r="D128"/>
      <c r="E128"/>
      <c r="F128"/>
      <c r="G128"/>
      <c r="H128"/>
      <c r="I128"/>
      <c r="J128"/>
      <c r="K128"/>
      <c r="L128" s="41"/>
      <c r="M128" s="41"/>
      <c r="N128" s="41"/>
    </row>
    <row r="129" spans="2:34" ht="15" customHeight="1" x14ac:dyDescent="0.25">
      <c r="B129"/>
      <c r="C129"/>
      <c r="D129"/>
      <c r="E129"/>
      <c r="F129"/>
      <c r="G129"/>
      <c r="H129"/>
      <c r="I129"/>
      <c r="J129"/>
      <c r="K129"/>
      <c r="L129" s="41"/>
      <c r="M129" s="41"/>
      <c r="N129" s="41"/>
    </row>
    <row r="130" spans="2:34" ht="15" customHeight="1" x14ac:dyDescent="0.25">
      <c r="B130"/>
      <c r="C130"/>
      <c r="D130"/>
      <c r="E130"/>
      <c r="F130"/>
      <c r="G130"/>
      <c r="H130"/>
      <c r="I130"/>
      <c r="J130"/>
      <c r="K130"/>
      <c r="L130" s="41"/>
      <c r="M130" s="41"/>
      <c r="N130" s="41"/>
    </row>
    <row r="131" spans="2:34" ht="15" customHeight="1" x14ac:dyDescent="0.25">
      <c r="B131"/>
      <c r="C131"/>
      <c r="D131"/>
      <c r="E131"/>
      <c r="F131"/>
      <c r="G131"/>
      <c r="H131"/>
      <c r="I131"/>
      <c r="J131"/>
      <c r="K131"/>
      <c r="L131" s="41"/>
      <c r="M131" s="41"/>
      <c r="N131" s="41"/>
    </row>
    <row r="132" spans="2:34" ht="15" customHeight="1" x14ac:dyDescent="0.25">
      <c r="B132"/>
      <c r="C132"/>
      <c r="D132"/>
      <c r="E132"/>
      <c r="F132"/>
      <c r="G132"/>
      <c r="H132"/>
      <c r="I132"/>
      <c r="J132"/>
      <c r="K132"/>
      <c r="L132" s="41"/>
      <c r="M132" s="41"/>
      <c r="N132" s="41"/>
    </row>
    <row r="133" spans="2:34" ht="15" customHeight="1" x14ac:dyDescent="0.25">
      <c r="B133"/>
      <c r="C133"/>
      <c r="D133"/>
      <c r="E133"/>
      <c r="F133"/>
      <c r="G133"/>
      <c r="H133"/>
      <c r="I133"/>
      <c r="J133"/>
      <c r="K133"/>
      <c r="L133" s="41"/>
      <c r="M133" s="41"/>
      <c r="N133" s="41"/>
    </row>
    <row r="134" spans="2:34" ht="15" customHeight="1" x14ac:dyDescent="0.25">
      <c r="B134"/>
      <c r="C134"/>
      <c r="D134"/>
      <c r="E134"/>
      <c r="F134"/>
      <c r="G134"/>
      <c r="H134"/>
      <c r="I134"/>
      <c r="J134"/>
      <c r="K134"/>
      <c r="L134" s="41"/>
      <c r="M134" s="41"/>
      <c r="N134" s="41"/>
    </row>
    <row r="135" spans="2:34" ht="15" customHeight="1" x14ac:dyDescent="0.25">
      <c r="B135"/>
      <c r="C135"/>
      <c r="D135"/>
      <c r="E135"/>
      <c r="F135"/>
      <c r="G135"/>
      <c r="H135"/>
      <c r="I135"/>
      <c r="J135"/>
      <c r="K135"/>
      <c r="L135" s="41"/>
      <c r="M135"/>
      <c r="N135"/>
      <c r="O135"/>
      <c r="P135"/>
      <c r="Q135"/>
      <c r="R135"/>
      <c r="S135"/>
      <c r="T135"/>
      <c r="U135"/>
      <c r="V135"/>
      <c r="W135"/>
      <c r="X135"/>
    </row>
    <row r="136" spans="2:34" ht="15" customHeight="1" x14ac:dyDescent="0.25">
      <c r="B136"/>
      <c r="C136"/>
      <c r="D136"/>
      <c r="E136"/>
      <c r="F136"/>
      <c r="G136"/>
      <c r="H136"/>
      <c r="I136"/>
      <c r="J136"/>
      <c r="K136"/>
      <c r="L136" s="773"/>
      <c r="M136"/>
      <c r="N136"/>
      <c r="O136"/>
      <c r="P136"/>
      <c r="Q136"/>
      <c r="R136"/>
      <c r="S136"/>
      <c r="T136"/>
      <c r="U136"/>
      <c r="V136"/>
      <c r="W136"/>
      <c r="X136"/>
    </row>
    <row r="137" spans="2:34" ht="15" customHeight="1" x14ac:dyDescent="0.25">
      <c r="B137"/>
      <c r="C137"/>
      <c r="D137"/>
      <c r="E137"/>
      <c r="F137"/>
      <c r="G137"/>
      <c r="H137"/>
      <c r="I137"/>
      <c r="J137"/>
      <c r="K137"/>
      <c r="L137" s="773"/>
      <c r="M137"/>
      <c r="N137"/>
      <c r="O137"/>
      <c r="P137"/>
      <c r="Q137"/>
      <c r="R137"/>
      <c r="S137"/>
      <c r="T137"/>
      <c r="U137"/>
      <c r="V137"/>
      <c r="W137"/>
      <c r="X137"/>
    </row>
    <row r="138" spans="2:34" ht="15" customHeight="1" x14ac:dyDescent="0.25">
      <c r="B138"/>
      <c r="C138"/>
      <c r="D138"/>
      <c r="E138"/>
      <c r="F138"/>
      <c r="G138"/>
      <c r="H138"/>
      <c r="I138"/>
      <c r="J138"/>
      <c r="K138"/>
      <c r="L138" s="41"/>
      <c r="M138"/>
      <c r="N138"/>
      <c r="O138"/>
      <c r="P138"/>
      <c r="Q138"/>
      <c r="R138"/>
      <c r="S138"/>
      <c r="T138"/>
      <c r="U138"/>
      <c r="V138"/>
      <c r="W138"/>
      <c r="X138"/>
    </row>
    <row r="139" spans="2:34" ht="24.9" customHeight="1" x14ac:dyDescent="0.25">
      <c r="B139"/>
      <c r="C139"/>
      <c r="D139"/>
      <c r="E139"/>
      <c r="F139"/>
      <c r="G139"/>
      <c r="H139"/>
      <c r="I139"/>
      <c r="J139"/>
      <c r="K139"/>
      <c r="L139" s="35"/>
      <c r="M139"/>
      <c r="N139"/>
      <c r="O139"/>
      <c r="P139"/>
      <c r="Q139"/>
      <c r="R139"/>
      <c r="S139"/>
      <c r="T139"/>
      <c r="U139"/>
      <c r="V139"/>
      <c r="W139"/>
      <c r="X139"/>
      <c r="Y139" s="12"/>
      <c r="Z139" s="12"/>
      <c r="AA139" s="12"/>
      <c r="AB139" s="12"/>
      <c r="AC139" s="12"/>
      <c r="AD139" s="12"/>
      <c r="AE139" s="12"/>
      <c r="AF139" s="12"/>
      <c r="AG139" s="12"/>
    </row>
    <row r="140" spans="2:34" s="47" customFormat="1" ht="15" customHeight="1" x14ac:dyDescent="0.25">
      <c r="B140"/>
      <c r="C140"/>
      <c r="D140"/>
      <c r="E140"/>
      <c r="F140"/>
      <c r="G140"/>
      <c r="H140"/>
      <c r="I140"/>
      <c r="J140"/>
      <c r="K140"/>
      <c r="M140"/>
      <c r="N140"/>
      <c r="O140"/>
      <c r="P140"/>
      <c r="Q140"/>
      <c r="R140"/>
      <c r="S140"/>
      <c r="T140"/>
      <c r="U140"/>
      <c r="V140"/>
      <c r="W140"/>
      <c r="X140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</row>
    <row r="141" spans="2:34" s="47" customFormat="1" ht="15" customHeight="1" x14ac:dyDescent="0.25">
      <c r="B141"/>
      <c r="C141"/>
      <c r="D141"/>
      <c r="E141"/>
      <c r="F141"/>
      <c r="G141"/>
      <c r="H141"/>
      <c r="I141"/>
      <c r="J141"/>
      <c r="K141"/>
      <c r="M141"/>
      <c r="N141"/>
      <c r="O141"/>
      <c r="P141"/>
      <c r="Q141"/>
      <c r="R141"/>
      <c r="S141"/>
      <c r="T141"/>
      <c r="U141"/>
      <c r="V141"/>
      <c r="W141"/>
      <c r="X141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</row>
    <row r="142" spans="2:34" s="47" customFormat="1" ht="15" customHeight="1" x14ac:dyDescent="0.25">
      <c r="B142"/>
      <c r="C142"/>
      <c r="D142"/>
      <c r="E142"/>
      <c r="F142"/>
      <c r="G142"/>
      <c r="H142"/>
      <c r="I142"/>
      <c r="J142"/>
      <c r="K142"/>
      <c r="M142"/>
      <c r="N142"/>
      <c r="O142"/>
      <c r="P142"/>
      <c r="Q142"/>
      <c r="R142"/>
      <c r="S142"/>
      <c r="T142"/>
      <c r="U142"/>
      <c r="V142"/>
      <c r="W142"/>
      <c r="X142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</row>
    <row r="143" spans="2:34" s="47" customFormat="1" ht="15" customHeight="1" x14ac:dyDescent="0.25">
      <c r="B143"/>
      <c r="C143"/>
      <c r="D143"/>
      <c r="E143"/>
      <c r="F143"/>
      <c r="G143"/>
      <c r="H143"/>
      <c r="I143"/>
      <c r="J143"/>
      <c r="K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2:34" ht="15" customHeight="1" x14ac:dyDescent="0.25">
      <c r="B144"/>
      <c r="C144"/>
      <c r="D144"/>
      <c r="E144"/>
      <c r="F144"/>
      <c r="G144"/>
      <c r="H144"/>
      <c r="I144"/>
      <c r="J144"/>
      <c r="K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2:24" ht="15" customHeight="1" x14ac:dyDescent="0.25">
      <c r="B145"/>
      <c r="C145"/>
      <c r="D145"/>
      <c r="E145"/>
      <c r="F145"/>
      <c r="G145"/>
      <c r="H145"/>
      <c r="I145"/>
      <c r="J145"/>
      <c r="K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2:24" ht="15" customHeight="1" x14ac:dyDescent="0.25">
      <c r="B146"/>
      <c r="C146"/>
      <c r="D146"/>
      <c r="E146"/>
      <c r="F146"/>
      <c r="G146"/>
      <c r="H146"/>
      <c r="I146"/>
      <c r="J146"/>
      <c r="K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2:24" ht="15" customHeight="1" x14ac:dyDescent="0.25">
      <c r="B147"/>
      <c r="C147"/>
      <c r="D147"/>
      <c r="E147"/>
      <c r="F147"/>
      <c r="G147"/>
      <c r="H147"/>
      <c r="I147"/>
      <c r="J147"/>
      <c r="K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2:24" ht="15" customHeight="1" x14ac:dyDescent="0.25">
      <c r="B148"/>
      <c r="C148"/>
      <c r="D148"/>
      <c r="E148"/>
      <c r="F148"/>
      <c r="G148"/>
      <c r="H148"/>
      <c r="I148"/>
      <c r="J148"/>
      <c r="K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2:24" ht="15" customHeight="1" x14ac:dyDescent="0.25">
      <c r="B149"/>
      <c r="C149"/>
      <c r="D149"/>
      <c r="E149"/>
      <c r="F149"/>
      <c r="G149"/>
      <c r="H149"/>
      <c r="I149"/>
      <c r="J149"/>
      <c r="K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2:24" ht="15" customHeight="1" x14ac:dyDescent="0.25">
      <c r="B150"/>
      <c r="C150"/>
      <c r="D150"/>
      <c r="E150"/>
      <c r="F150"/>
      <c r="G150"/>
      <c r="H150"/>
      <c r="I150"/>
      <c r="J150"/>
      <c r="K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2:24" ht="15" customHeight="1" x14ac:dyDescent="0.25">
      <c r="B151"/>
      <c r="C151"/>
      <c r="D151"/>
      <c r="E151"/>
      <c r="F151"/>
      <c r="G151"/>
      <c r="H151"/>
      <c r="I151"/>
      <c r="J151"/>
      <c r="K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2:24" ht="15" customHeight="1" x14ac:dyDescent="0.25">
      <c r="B152"/>
      <c r="C152"/>
      <c r="D152"/>
      <c r="E152"/>
      <c r="F152"/>
      <c r="G152"/>
      <c r="H152"/>
      <c r="I152"/>
      <c r="J152"/>
      <c r="K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2:24" ht="15" customHeight="1" x14ac:dyDescent="0.25">
      <c r="B153"/>
      <c r="C153"/>
      <c r="D153"/>
      <c r="E153"/>
      <c r="F153"/>
      <c r="G153"/>
      <c r="H153"/>
      <c r="I153"/>
      <c r="J153"/>
      <c r="K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2:24" ht="15" customHeight="1" x14ac:dyDescent="0.25">
      <c r="B154"/>
      <c r="C154"/>
      <c r="D154"/>
      <c r="E154"/>
      <c r="F154"/>
      <c r="G154"/>
      <c r="H154"/>
      <c r="I154"/>
      <c r="J154"/>
      <c r="K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2:24" ht="15" customHeight="1" x14ac:dyDescent="0.25">
      <c r="B155"/>
      <c r="C155"/>
      <c r="D155"/>
      <c r="E155"/>
      <c r="F155"/>
      <c r="G155"/>
      <c r="H155"/>
      <c r="I155"/>
      <c r="J155"/>
      <c r="K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2:24" ht="24.9" customHeight="1" x14ac:dyDescent="0.25">
      <c r="B156"/>
      <c r="C156"/>
      <c r="D156"/>
      <c r="E156"/>
      <c r="F156"/>
      <c r="G156"/>
      <c r="H156"/>
      <c r="I156"/>
      <c r="J156"/>
      <c r="K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2:24" ht="21.75" customHeight="1" x14ac:dyDescent="0.25">
      <c r="B157"/>
      <c r="C157"/>
      <c r="D157"/>
      <c r="E157"/>
      <c r="F157"/>
      <c r="G157"/>
      <c r="H157"/>
      <c r="I157"/>
      <c r="J157"/>
      <c r="K157"/>
      <c r="L157" s="61"/>
      <c r="M157"/>
      <c r="N157"/>
      <c r="O157"/>
      <c r="P157"/>
      <c r="Q157"/>
      <c r="R157"/>
      <c r="S157"/>
      <c r="T157"/>
      <c r="U157"/>
      <c r="V157"/>
      <c r="W157"/>
      <c r="X157"/>
    </row>
    <row r="158" spans="2:24" s="47" customFormat="1" ht="15" customHeight="1" x14ac:dyDescent="0.25">
      <c r="B158"/>
      <c r="C158"/>
      <c r="D158"/>
      <c r="E158"/>
      <c r="F158"/>
      <c r="G158"/>
      <c r="H158"/>
      <c r="I158"/>
      <c r="J158"/>
      <c r="K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2:24" s="47" customFormat="1" ht="15" customHeight="1" x14ac:dyDescent="0.25">
      <c r="B159"/>
      <c r="C159"/>
      <c r="D159"/>
      <c r="E159"/>
      <c r="F159"/>
      <c r="G159"/>
      <c r="H159"/>
      <c r="I159"/>
      <c r="J159"/>
      <c r="K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2:24" s="47" customFormat="1" ht="15" customHeight="1" x14ac:dyDescent="0.25">
      <c r="B160"/>
      <c r="C160"/>
      <c r="D160"/>
      <c r="E160"/>
      <c r="F160"/>
      <c r="G160"/>
      <c r="H160"/>
      <c r="I160"/>
      <c r="J160"/>
      <c r="K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2:24" s="47" customFormat="1" ht="15" customHeight="1" x14ac:dyDescent="0.25">
      <c r="B161"/>
      <c r="C161"/>
      <c r="D161"/>
      <c r="E161"/>
      <c r="F161"/>
      <c r="G161"/>
      <c r="H161"/>
      <c r="I161"/>
      <c r="J161"/>
      <c r="K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2:24" ht="15" customHeight="1" x14ac:dyDescent="0.25">
      <c r="B162"/>
      <c r="C162"/>
      <c r="D162"/>
      <c r="E162"/>
      <c r="F162"/>
      <c r="G162"/>
      <c r="H162"/>
      <c r="I162"/>
      <c r="J162"/>
      <c r="K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2:24" ht="15" customHeight="1" x14ac:dyDescent="0.25">
      <c r="B163"/>
      <c r="C163"/>
      <c r="D163"/>
      <c r="E163"/>
      <c r="F163"/>
      <c r="G163"/>
      <c r="H163"/>
      <c r="I163"/>
      <c r="J163"/>
      <c r="K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2:24" ht="15" customHeight="1" x14ac:dyDescent="0.25">
      <c r="B164"/>
      <c r="C164"/>
      <c r="D164"/>
      <c r="E164"/>
      <c r="F164"/>
      <c r="G164"/>
      <c r="H164"/>
      <c r="I164"/>
      <c r="J164"/>
      <c r="K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2:24" ht="15" customHeight="1" x14ac:dyDescent="0.25">
      <c r="B165"/>
      <c r="C165"/>
      <c r="D165"/>
      <c r="E165"/>
      <c r="F165"/>
      <c r="G165"/>
      <c r="H165"/>
      <c r="I165"/>
      <c r="J165"/>
      <c r="K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2:24" ht="15" customHeight="1" x14ac:dyDescent="0.25">
      <c r="B166"/>
      <c r="C166"/>
      <c r="D166"/>
      <c r="E166"/>
      <c r="F166"/>
      <c r="G166"/>
      <c r="H166"/>
      <c r="I166"/>
      <c r="J166"/>
      <c r="K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2:24" ht="15" customHeight="1" x14ac:dyDescent="0.25">
      <c r="B167"/>
      <c r="C167"/>
      <c r="D167"/>
      <c r="E167"/>
      <c r="F167"/>
      <c r="G167"/>
      <c r="H167"/>
      <c r="I167"/>
      <c r="J167"/>
      <c r="K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2:24" ht="15" customHeight="1" x14ac:dyDescent="0.25">
      <c r="B168"/>
      <c r="C168"/>
      <c r="D168"/>
      <c r="E168"/>
      <c r="F168"/>
      <c r="G168"/>
      <c r="H168"/>
      <c r="I168"/>
      <c r="J168"/>
      <c r="K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2:24" ht="15" customHeight="1" x14ac:dyDescent="0.25">
      <c r="B169"/>
      <c r="C169"/>
      <c r="D169"/>
      <c r="E169"/>
      <c r="F169"/>
      <c r="G169"/>
      <c r="H169"/>
      <c r="I169"/>
      <c r="J169"/>
      <c r="K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2:24" ht="15" customHeight="1" x14ac:dyDescent="0.25">
      <c r="B170"/>
      <c r="C170"/>
      <c r="D170"/>
      <c r="E170"/>
      <c r="F170"/>
      <c r="G170"/>
      <c r="H170"/>
      <c r="I170"/>
      <c r="J170"/>
      <c r="K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2:24" ht="15" customHeight="1" x14ac:dyDescent="0.25">
      <c r="B171"/>
      <c r="C171"/>
      <c r="D171"/>
      <c r="E171"/>
      <c r="F171"/>
      <c r="G171"/>
      <c r="H171"/>
      <c r="I171"/>
      <c r="J171"/>
      <c r="K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2:24" ht="15" customHeight="1" x14ac:dyDescent="0.25">
      <c r="B172"/>
      <c r="C172"/>
      <c r="D172"/>
      <c r="E172"/>
      <c r="F172"/>
      <c r="G172"/>
      <c r="H172"/>
      <c r="I172"/>
      <c r="J172"/>
      <c r="K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2:24" ht="15" customHeight="1" x14ac:dyDescent="0.25">
      <c r="B173"/>
      <c r="C173"/>
      <c r="D173"/>
      <c r="E173"/>
      <c r="F173"/>
      <c r="G173"/>
      <c r="H173"/>
      <c r="I173"/>
      <c r="J173"/>
      <c r="K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2:24" ht="24.9" customHeight="1" x14ac:dyDescent="0.25">
      <c r="B174"/>
      <c r="C174"/>
      <c r="D174"/>
      <c r="E174"/>
      <c r="F174"/>
      <c r="G174"/>
      <c r="H174"/>
      <c r="I174"/>
      <c r="J174"/>
      <c r="K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2:24" ht="24.9" customHeight="1" x14ac:dyDescent="0.25">
      <c r="B175"/>
      <c r="C175"/>
      <c r="D175"/>
      <c r="E175"/>
      <c r="F175"/>
      <c r="G175"/>
      <c r="H175"/>
      <c r="I175"/>
      <c r="J175"/>
      <c r="K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2:24" ht="14.25" customHeight="1" x14ac:dyDescent="0.25">
      <c r="B176"/>
      <c r="C176"/>
      <c r="D176"/>
      <c r="E176"/>
      <c r="F176"/>
      <c r="G176"/>
      <c r="H176"/>
      <c r="I176"/>
      <c r="J176"/>
      <c r="K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2:37" ht="14.25" customHeight="1" x14ac:dyDescent="0.25">
      <c r="B177"/>
      <c r="C177"/>
      <c r="D177"/>
      <c r="E177"/>
      <c r="F177"/>
      <c r="G177"/>
      <c r="H177"/>
      <c r="I177"/>
      <c r="J177"/>
      <c r="K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2:37" ht="12" customHeight="1" x14ac:dyDescent="0.25">
      <c r="B178"/>
      <c r="C178"/>
      <c r="D178"/>
      <c r="E178"/>
      <c r="F178"/>
      <c r="G178"/>
      <c r="H178"/>
      <c r="I178"/>
      <c r="J178"/>
      <c r="K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2:37" ht="12" customHeight="1" x14ac:dyDescent="0.25">
      <c r="B179"/>
      <c r="C179"/>
      <c r="D179"/>
      <c r="E179"/>
      <c r="F179"/>
      <c r="G179"/>
      <c r="H179"/>
      <c r="I179"/>
      <c r="J179"/>
      <c r="K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2:37" ht="12" customHeight="1" x14ac:dyDescent="0.25">
      <c r="B180"/>
      <c r="C180"/>
      <c r="D180"/>
      <c r="E180"/>
      <c r="F180"/>
      <c r="G180"/>
      <c r="H180"/>
      <c r="I180"/>
      <c r="J180"/>
      <c r="K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2:37" ht="15" customHeight="1" x14ac:dyDescent="0.25">
      <c r="B181"/>
      <c r="C181"/>
      <c r="D181"/>
      <c r="E181"/>
      <c r="F181"/>
      <c r="G181"/>
      <c r="H181"/>
      <c r="I181"/>
      <c r="J181"/>
      <c r="K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2:37" ht="24.9" customHeight="1" x14ac:dyDescent="0.25">
      <c r="B182"/>
      <c r="C182"/>
      <c r="D182"/>
      <c r="E182"/>
      <c r="F182"/>
      <c r="G182"/>
      <c r="H182"/>
      <c r="I182"/>
      <c r="J182"/>
      <c r="K182"/>
      <c r="L182" s="35"/>
      <c r="M182" s="648"/>
      <c r="N182" s="648"/>
      <c r="O182" s="648"/>
      <c r="P182" s="648"/>
      <c r="Q182" s="648"/>
      <c r="R182" s="648"/>
      <c r="S182" s="35"/>
      <c r="T182" s="35"/>
      <c r="U182" s="35"/>
      <c r="V182" s="35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</row>
    <row r="183" spans="2:37" s="47" customFormat="1" ht="15" customHeight="1" x14ac:dyDescent="0.25">
      <c r="B183"/>
      <c r="C183"/>
      <c r="D183"/>
      <c r="E183"/>
      <c r="F183"/>
      <c r="G183"/>
      <c r="H183"/>
      <c r="I183"/>
      <c r="J183"/>
      <c r="K183"/>
      <c r="M183" s="9"/>
      <c r="N183" s="9"/>
      <c r="O183" s="9"/>
      <c r="P183" s="9"/>
      <c r="Q183" s="9"/>
      <c r="R183" s="9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</row>
    <row r="184" spans="2:37" s="47" customFormat="1" ht="15" customHeight="1" x14ac:dyDescent="0.25">
      <c r="B184"/>
      <c r="C184"/>
      <c r="D184"/>
      <c r="E184"/>
      <c r="F184"/>
      <c r="G184"/>
      <c r="H184"/>
      <c r="I184"/>
      <c r="J184"/>
      <c r="K184"/>
      <c r="M184" s="9"/>
      <c r="N184" s="9"/>
      <c r="O184" s="9"/>
      <c r="P184" s="9"/>
      <c r="Q184" s="9"/>
      <c r="R184" s="9"/>
      <c r="V184" s="215"/>
      <c r="W184" s="215"/>
      <c r="X184" s="215"/>
      <c r="Y184" s="215"/>
      <c r="Z184" s="21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</row>
    <row r="185" spans="2:37" s="47" customFormat="1" ht="15" customHeight="1" x14ac:dyDescent="0.25">
      <c r="B185"/>
      <c r="C185"/>
      <c r="D185"/>
      <c r="E185"/>
      <c r="F185"/>
      <c r="G185"/>
      <c r="H185"/>
      <c r="I185"/>
      <c r="J185"/>
      <c r="K185"/>
      <c r="M185" s="9"/>
      <c r="N185" s="9"/>
      <c r="O185" s="9"/>
      <c r="P185" s="9"/>
      <c r="Q185" s="9"/>
      <c r="R185" s="9"/>
      <c r="V185" s="215"/>
      <c r="W185" s="215"/>
      <c r="X185" s="215"/>
      <c r="Y185" s="215"/>
      <c r="Z185" s="21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</row>
    <row r="186" spans="2:37" s="47" customFormat="1" ht="15" customHeight="1" x14ac:dyDescent="0.25">
      <c r="B186"/>
      <c r="C186"/>
      <c r="D186"/>
      <c r="E186"/>
      <c r="F186"/>
      <c r="G186"/>
      <c r="H186"/>
      <c r="I186"/>
      <c r="J186"/>
      <c r="K186"/>
      <c r="M186" s="9"/>
      <c r="N186" s="9"/>
      <c r="O186" s="9"/>
      <c r="P186" s="9"/>
      <c r="Q186" s="9"/>
      <c r="R186" s="9"/>
      <c r="V186" s="215"/>
      <c r="W186" s="215"/>
      <c r="X186" s="215"/>
      <c r="Y186" s="215"/>
      <c r="Z186" s="215"/>
    </row>
    <row r="187" spans="2:37" ht="15" customHeight="1" x14ac:dyDescent="0.25">
      <c r="B187"/>
      <c r="C187"/>
      <c r="D187"/>
      <c r="E187"/>
      <c r="F187"/>
      <c r="G187"/>
      <c r="H187"/>
      <c r="I187"/>
      <c r="J187"/>
      <c r="K187"/>
      <c r="M187" s="8"/>
      <c r="N187" s="8"/>
      <c r="O187" s="8"/>
      <c r="P187" s="8"/>
      <c r="Q187" s="8"/>
      <c r="R187" s="8"/>
      <c r="V187" s="216"/>
      <c r="W187" s="216"/>
      <c r="X187" s="216"/>
      <c r="Y187" s="216"/>
      <c r="Z187" s="216"/>
    </row>
    <row r="188" spans="2:37" ht="15" customHeight="1" x14ac:dyDescent="0.25">
      <c r="B188"/>
      <c r="C188"/>
      <c r="D188"/>
      <c r="E188"/>
      <c r="F188"/>
      <c r="G188"/>
      <c r="H188"/>
      <c r="I188"/>
      <c r="J188"/>
      <c r="K188"/>
      <c r="M188" s="8"/>
      <c r="N188" s="8"/>
      <c r="O188" s="8"/>
      <c r="P188" s="8"/>
      <c r="Q188" s="8"/>
      <c r="R188" s="8"/>
      <c r="V188" s="216"/>
      <c r="W188" s="216"/>
      <c r="X188" s="216"/>
      <c r="Y188" s="216"/>
      <c r="Z188" s="216"/>
    </row>
    <row r="189" spans="2:37" ht="15" customHeight="1" x14ac:dyDescent="0.25">
      <c r="B189"/>
      <c r="C189"/>
      <c r="D189"/>
      <c r="E189"/>
      <c r="F189"/>
      <c r="G189"/>
      <c r="H189"/>
      <c r="I189"/>
      <c r="J189"/>
      <c r="K189"/>
      <c r="M189" s="8"/>
      <c r="N189" s="8"/>
      <c r="O189" s="8"/>
      <c r="P189" s="8"/>
      <c r="Q189" s="8"/>
      <c r="R189" s="8"/>
      <c r="V189" s="216"/>
      <c r="W189" s="216"/>
      <c r="X189" s="216"/>
      <c r="Y189" s="216"/>
      <c r="Z189" s="216"/>
    </row>
    <row r="190" spans="2:37" ht="15" customHeight="1" x14ac:dyDescent="0.25">
      <c r="B190"/>
      <c r="C190"/>
      <c r="D190"/>
      <c r="E190"/>
      <c r="F190"/>
      <c r="G190"/>
      <c r="H190"/>
      <c r="I190"/>
      <c r="J190"/>
      <c r="K190"/>
      <c r="M190" s="8"/>
      <c r="N190" s="8"/>
      <c r="O190" s="8"/>
      <c r="P190" s="8"/>
      <c r="Q190" s="8"/>
      <c r="R190" s="8"/>
      <c r="V190" s="216"/>
      <c r="W190" s="216"/>
      <c r="X190" s="216"/>
      <c r="Y190" s="216"/>
      <c r="Z190" s="216"/>
    </row>
    <row r="191" spans="2:37" ht="15" customHeight="1" x14ac:dyDescent="0.25">
      <c r="B191"/>
      <c r="C191"/>
      <c r="D191"/>
      <c r="E191"/>
      <c r="F191"/>
      <c r="G191"/>
      <c r="H191"/>
      <c r="I191"/>
      <c r="J191"/>
      <c r="K191"/>
      <c r="M191" s="8"/>
      <c r="N191" s="8"/>
      <c r="O191" s="8"/>
      <c r="P191" s="8"/>
      <c r="Q191" s="8"/>
      <c r="R191" s="8"/>
      <c r="V191" s="216"/>
      <c r="W191" s="216"/>
      <c r="X191" s="216"/>
      <c r="Y191" s="216"/>
      <c r="Z191" s="216"/>
    </row>
    <row r="192" spans="2:37" ht="15" customHeight="1" x14ac:dyDescent="0.25">
      <c r="B192"/>
      <c r="C192"/>
      <c r="D192"/>
      <c r="E192"/>
      <c r="F192"/>
      <c r="G192"/>
      <c r="H192"/>
      <c r="I192"/>
      <c r="J192"/>
      <c r="K192"/>
      <c r="M192" s="8"/>
      <c r="N192" s="8"/>
      <c r="O192" s="8"/>
      <c r="P192" s="8"/>
      <c r="Q192" s="8"/>
      <c r="R192" s="8"/>
      <c r="V192" s="216"/>
      <c r="W192" s="216"/>
      <c r="X192" s="216"/>
      <c r="Y192" s="216"/>
      <c r="Z192" s="216"/>
    </row>
    <row r="193" spans="2:26" ht="15" customHeight="1" x14ac:dyDescent="0.25">
      <c r="B193"/>
      <c r="C193"/>
      <c r="D193"/>
      <c r="E193"/>
      <c r="F193"/>
      <c r="G193"/>
      <c r="H193"/>
      <c r="I193"/>
      <c r="J193"/>
      <c r="K193"/>
      <c r="V193" s="216"/>
      <c r="W193" s="216"/>
      <c r="X193" s="216"/>
      <c r="Y193" s="216"/>
      <c r="Z193" s="216"/>
    </row>
    <row r="194" spans="2:26" ht="15" customHeight="1" x14ac:dyDescent="0.25">
      <c r="B194"/>
      <c r="C194"/>
      <c r="D194"/>
      <c r="E194"/>
      <c r="F194"/>
      <c r="G194"/>
      <c r="H194"/>
      <c r="I194"/>
      <c r="J194"/>
      <c r="K194"/>
      <c r="V194" s="216"/>
      <c r="W194" s="216"/>
      <c r="X194" s="216"/>
      <c r="Y194" s="216"/>
      <c r="Z194" s="216"/>
    </row>
    <row r="195" spans="2:26" ht="15" customHeight="1" x14ac:dyDescent="0.25">
      <c r="B195"/>
      <c r="C195"/>
      <c r="D195"/>
      <c r="E195"/>
      <c r="F195"/>
      <c r="G195"/>
      <c r="H195"/>
      <c r="I195"/>
      <c r="J195"/>
      <c r="K195"/>
      <c r="V195" s="216"/>
      <c r="W195" s="216"/>
      <c r="X195" s="216"/>
      <c r="Y195" s="216"/>
      <c r="Z195" s="216"/>
    </row>
    <row r="196" spans="2:26" ht="15" customHeight="1" x14ac:dyDescent="0.25">
      <c r="B196"/>
      <c r="C196"/>
      <c r="D196"/>
      <c r="E196"/>
      <c r="F196"/>
      <c r="G196"/>
      <c r="H196"/>
      <c r="I196"/>
      <c r="J196"/>
      <c r="K196"/>
      <c r="V196" s="216"/>
      <c r="W196" s="216"/>
      <c r="X196" s="216"/>
      <c r="Y196" s="216"/>
      <c r="Z196" s="216"/>
    </row>
    <row r="197" spans="2:26" ht="15" customHeight="1" x14ac:dyDescent="0.25">
      <c r="B197"/>
      <c r="C197"/>
      <c r="D197"/>
      <c r="E197"/>
      <c r="F197"/>
      <c r="G197"/>
      <c r="H197"/>
      <c r="I197"/>
      <c r="J197"/>
      <c r="K197"/>
      <c r="V197" s="216"/>
      <c r="W197" s="216"/>
      <c r="X197" s="216"/>
      <c r="Y197" s="216"/>
      <c r="Z197" s="216"/>
    </row>
    <row r="198" spans="2:26" ht="15" customHeight="1" x14ac:dyDescent="0.25">
      <c r="B198"/>
      <c r="C198"/>
      <c r="D198"/>
      <c r="E198"/>
      <c r="F198"/>
      <c r="G198"/>
      <c r="H198"/>
      <c r="I198"/>
      <c r="J198"/>
      <c r="K198"/>
      <c r="V198" s="216"/>
      <c r="W198" s="216"/>
      <c r="X198" s="216"/>
      <c r="Y198" s="216"/>
      <c r="Z198" s="216"/>
    </row>
    <row r="199" spans="2:26" ht="24.9" customHeight="1" x14ac:dyDescent="0.25">
      <c r="B199"/>
      <c r="C199"/>
      <c r="D199"/>
      <c r="E199"/>
      <c r="F199"/>
      <c r="G199"/>
      <c r="H199"/>
      <c r="I199"/>
      <c r="J199"/>
      <c r="K199"/>
      <c r="V199" s="217"/>
      <c r="W199" s="217"/>
      <c r="X199" s="217"/>
      <c r="Y199" s="217"/>
      <c r="Z199" s="217"/>
    </row>
    <row r="200" spans="2:26" ht="18" customHeight="1" x14ac:dyDescent="0.25">
      <c r="B200"/>
      <c r="C200"/>
      <c r="D200"/>
      <c r="E200"/>
      <c r="F200"/>
      <c r="G200"/>
      <c r="H200"/>
      <c r="I200"/>
      <c r="J200"/>
      <c r="K200"/>
      <c r="L200" s="61"/>
      <c r="M200" s="61"/>
      <c r="N200" s="61"/>
      <c r="O200" s="8"/>
      <c r="P200" s="8"/>
      <c r="Q200" s="8"/>
    </row>
    <row r="201" spans="2:26" s="47" customFormat="1" ht="15" customHeight="1" x14ac:dyDescent="0.25">
      <c r="B201"/>
      <c r="C201"/>
      <c r="D201"/>
      <c r="E201"/>
      <c r="F201"/>
      <c r="G201"/>
      <c r="H201"/>
      <c r="I201"/>
      <c r="J201"/>
      <c r="K201"/>
    </row>
    <row r="202" spans="2:26" s="47" customFormat="1" ht="15" customHeight="1" x14ac:dyDescent="0.25">
      <c r="B202"/>
      <c r="C202"/>
      <c r="D202"/>
      <c r="E202"/>
      <c r="F202"/>
      <c r="G202"/>
      <c r="H202"/>
      <c r="I202"/>
      <c r="J202"/>
      <c r="K202"/>
    </row>
    <row r="203" spans="2:26" s="47" customFormat="1" ht="15" customHeight="1" x14ac:dyDescent="0.25">
      <c r="B203"/>
      <c r="C203"/>
      <c r="D203"/>
      <c r="E203"/>
      <c r="F203"/>
      <c r="G203"/>
      <c r="H203"/>
      <c r="I203"/>
      <c r="J203"/>
      <c r="K203"/>
    </row>
    <row r="204" spans="2:26" s="47" customFormat="1" ht="15" customHeight="1" x14ac:dyDescent="0.25">
      <c r="B204"/>
      <c r="C204"/>
      <c r="D204"/>
      <c r="E204"/>
      <c r="F204"/>
      <c r="G204"/>
      <c r="H204"/>
      <c r="I204"/>
      <c r="J204"/>
      <c r="K204"/>
    </row>
    <row r="205" spans="2:26" ht="15" customHeight="1" x14ac:dyDescent="0.25">
      <c r="B205"/>
      <c r="C205"/>
      <c r="D205"/>
      <c r="E205"/>
      <c r="F205"/>
      <c r="G205"/>
      <c r="H205"/>
      <c r="I205"/>
      <c r="J205"/>
      <c r="K205"/>
    </row>
    <row r="206" spans="2:26" ht="15" customHeight="1" x14ac:dyDescent="0.25">
      <c r="B206"/>
      <c r="C206"/>
      <c r="D206"/>
      <c r="E206"/>
      <c r="F206"/>
      <c r="G206"/>
      <c r="H206"/>
      <c r="I206"/>
      <c r="J206"/>
      <c r="K206"/>
    </row>
    <row r="207" spans="2:26" ht="15" customHeight="1" x14ac:dyDescent="0.25">
      <c r="B207"/>
      <c r="C207"/>
      <c r="D207"/>
      <c r="E207"/>
      <c r="F207"/>
      <c r="G207"/>
      <c r="H207"/>
      <c r="I207"/>
      <c r="J207"/>
      <c r="K207"/>
    </row>
    <row r="208" spans="2:26" ht="15" customHeight="1" x14ac:dyDescent="0.25">
      <c r="B208"/>
      <c r="C208"/>
      <c r="D208"/>
      <c r="E208"/>
      <c r="F208"/>
      <c r="G208"/>
      <c r="H208"/>
      <c r="I208"/>
      <c r="J208"/>
      <c r="K208"/>
    </row>
    <row r="209" spans="2:11" ht="15" customHeight="1" x14ac:dyDescent="0.25">
      <c r="B209"/>
      <c r="C209"/>
      <c r="D209"/>
      <c r="E209"/>
      <c r="F209"/>
      <c r="G209"/>
      <c r="H209"/>
      <c r="I209"/>
      <c r="J209"/>
      <c r="K209"/>
    </row>
    <row r="210" spans="2:11" ht="15" customHeight="1" x14ac:dyDescent="0.25">
      <c r="B210"/>
      <c r="C210"/>
      <c r="D210"/>
      <c r="E210"/>
      <c r="F210"/>
      <c r="G210"/>
      <c r="H210"/>
      <c r="I210"/>
      <c r="J210"/>
      <c r="K210"/>
    </row>
    <row r="211" spans="2:11" ht="15" customHeight="1" x14ac:dyDescent="0.25">
      <c r="B211"/>
      <c r="C211"/>
      <c r="D211"/>
      <c r="E211"/>
      <c r="F211"/>
      <c r="G211"/>
      <c r="H211"/>
      <c r="I211"/>
      <c r="J211"/>
      <c r="K211"/>
    </row>
    <row r="212" spans="2:11" ht="15" customHeight="1" x14ac:dyDescent="0.25">
      <c r="B212"/>
      <c r="C212"/>
      <c r="D212"/>
      <c r="E212"/>
      <c r="F212"/>
      <c r="G212"/>
      <c r="H212"/>
      <c r="I212"/>
      <c r="J212"/>
      <c r="K212"/>
    </row>
    <row r="213" spans="2:11" ht="15" customHeight="1" x14ac:dyDescent="0.25">
      <c r="B213"/>
      <c r="C213"/>
      <c r="D213"/>
      <c r="E213"/>
      <c r="F213"/>
      <c r="G213"/>
      <c r="H213"/>
      <c r="I213"/>
      <c r="J213"/>
      <c r="K213"/>
    </row>
    <row r="214" spans="2:11" ht="15" customHeight="1" x14ac:dyDescent="0.25">
      <c r="B214"/>
      <c r="C214"/>
      <c r="D214"/>
      <c r="E214"/>
      <c r="F214"/>
      <c r="G214"/>
      <c r="H214"/>
      <c r="I214"/>
      <c r="J214"/>
      <c r="K214"/>
    </row>
    <row r="215" spans="2:11" ht="15" customHeight="1" x14ac:dyDescent="0.25">
      <c r="B215"/>
      <c r="C215"/>
      <c r="D215"/>
      <c r="E215"/>
      <c r="F215"/>
      <c r="G215"/>
      <c r="H215"/>
      <c r="I215"/>
      <c r="J215"/>
      <c r="K215"/>
    </row>
    <row r="216" spans="2:11" ht="15" customHeight="1" x14ac:dyDescent="0.25">
      <c r="B216"/>
      <c r="C216"/>
      <c r="D216"/>
      <c r="E216"/>
      <c r="F216"/>
      <c r="G216"/>
      <c r="H216"/>
      <c r="I216"/>
      <c r="J216"/>
      <c r="K216"/>
    </row>
    <row r="217" spans="2:11" ht="24.9" customHeight="1" x14ac:dyDescent="0.25">
      <c r="B217"/>
      <c r="C217"/>
      <c r="D217"/>
      <c r="E217"/>
      <c r="F217"/>
      <c r="G217"/>
      <c r="H217"/>
      <c r="I217"/>
      <c r="J217"/>
      <c r="K217"/>
    </row>
    <row r="218" spans="2:11" ht="15" customHeight="1" x14ac:dyDescent="0.25">
      <c r="B218"/>
      <c r="C218"/>
      <c r="D218"/>
      <c r="E218"/>
      <c r="F218"/>
      <c r="G218"/>
      <c r="H218"/>
      <c r="I218"/>
      <c r="J218"/>
      <c r="K218"/>
    </row>
    <row r="219" spans="2:11" s="14" customFormat="1" ht="15" customHeight="1" x14ac:dyDescent="0.25">
      <c r="B219" s="212" t="s">
        <v>228</v>
      </c>
    </row>
    <row r="220" spans="2:11" ht="15" customHeight="1" x14ac:dyDescent="0.25">
      <c r="B220" s="963" t="s">
        <v>229</v>
      </c>
      <c r="C220" s="963"/>
      <c r="D220" s="963"/>
      <c r="E220" s="963"/>
      <c r="F220" s="963"/>
      <c r="G220" s="963"/>
      <c r="H220" s="963"/>
      <c r="I220" s="963"/>
      <c r="J220" s="963"/>
      <c r="K220" s="963"/>
    </row>
    <row r="221" spans="2:11" ht="15" customHeight="1" x14ac:dyDescent="0.25">
      <c r="B221" s="963" t="s">
        <v>230</v>
      </c>
      <c r="C221" s="963"/>
      <c r="D221" s="963"/>
      <c r="E221" s="963"/>
      <c r="F221" s="963"/>
      <c r="G221" s="963"/>
      <c r="H221" s="963"/>
      <c r="I221" s="963"/>
      <c r="J221" s="963"/>
      <c r="K221" s="963"/>
    </row>
  </sheetData>
  <mergeCells count="308">
    <mergeCell ref="N45:W45"/>
    <mergeCell ref="N46:W46"/>
    <mergeCell ref="U26:W26"/>
    <mergeCell ref="O27:O29"/>
    <mergeCell ref="P27:P29"/>
    <mergeCell ref="Q27:Q29"/>
    <mergeCell ref="R27:R29"/>
    <mergeCell ref="S27:S29"/>
    <mergeCell ref="T27:T29"/>
    <mergeCell ref="U27:U29"/>
    <mergeCell ref="V27:V29"/>
    <mergeCell ref="W27:W29"/>
    <mergeCell ref="B45:K45"/>
    <mergeCell ref="B46:K46"/>
    <mergeCell ref="N1:W1"/>
    <mergeCell ref="N2:W2"/>
    <mergeCell ref="N3:W3"/>
    <mergeCell ref="N4:W4"/>
    <mergeCell ref="N5:W5"/>
    <mergeCell ref="N7:W7"/>
    <mergeCell ref="N8:N11"/>
    <mergeCell ref="O8:Q8"/>
    <mergeCell ref="R8:T8"/>
    <mergeCell ref="U8:W8"/>
    <mergeCell ref="O9:O11"/>
    <mergeCell ref="P9:P11"/>
    <mergeCell ref="Q9:Q11"/>
    <mergeCell ref="R9:R11"/>
    <mergeCell ref="S9:S11"/>
    <mergeCell ref="T9:T11"/>
    <mergeCell ref="U9:U11"/>
    <mergeCell ref="V9:V11"/>
    <mergeCell ref="W9:W11"/>
    <mergeCell ref="N26:N29"/>
    <mergeCell ref="O26:Q26"/>
    <mergeCell ref="R26:T26"/>
    <mergeCell ref="B26:B29"/>
    <mergeCell ref="C26:E26"/>
    <mergeCell ref="F26:H26"/>
    <mergeCell ref="I26:K26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B1:K1"/>
    <mergeCell ref="B2:K2"/>
    <mergeCell ref="B3:K3"/>
    <mergeCell ref="B4:K4"/>
    <mergeCell ref="B5:K5"/>
    <mergeCell ref="B7:K7"/>
    <mergeCell ref="B8:B11"/>
    <mergeCell ref="C8:E8"/>
    <mergeCell ref="F8:H8"/>
    <mergeCell ref="I8:K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Z47:AI47"/>
    <mergeCell ref="Z48:AI48"/>
    <mergeCell ref="Z49:AI49"/>
    <mergeCell ref="Z50:AI50"/>
    <mergeCell ref="Z51:AI51"/>
    <mergeCell ref="Z72:Z75"/>
    <mergeCell ref="AA72:AC72"/>
    <mergeCell ref="AD72:AF72"/>
    <mergeCell ref="AG72:AI72"/>
    <mergeCell ref="AA73:AA75"/>
    <mergeCell ref="AB73:AB75"/>
    <mergeCell ref="AC73:AC75"/>
    <mergeCell ref="AD73:AD75"/>
    <mergeCell ref="AE73:AE75"/>
    <mergeCell ref="AF73:AF75"/>
    <mergeCell ref="AG73:AG75"/>
    <mergeCell ref="AH73:AH75"/>
    <mergeCell ref="AI73:AI75"/>
    <mergeCell ref="Z53:AI53"/>
    <mergeCell ref="Z54:Z57"/>
    <mergeCell ref="AA54:AC54"/>
    <mergeCell ref="AD54:AF54"/>
    <mergeCell ref="AG54:AI54"/>
    <mergeCell ref="AA55:AA57"/>
    <mergeCell ref="AB55:AB57"/>
    <mergeCell ref="AC55:AC57"/>
    <mergeCell ref="AD55:AD57"/>
    <mergeCell ref="AE55:AE57"/>
    <mergeCell ref="AF55:AF57"/>
    <mergeCell ref="AG55:AG57"/>
    <mergeCell ref="AH55:AH57"/>
    <mergeCell ref="AI55:AI57"/>
    <mergeCell ref="J73:J75"/>
    <mergeCell ref="K55:K57"/>
    <mergeCell ref="I72:K72"/>
    <mergeCell ref="K73:K75"/>
    <mergeCell ref="B47:K47"/>
    <mergeCell ref="B48:K48"/>
    <mergeCell ref="B49:K49"/>
    <mergeCell ref="B50:K50"/>
    <mergeCell ref="I55:I57"/>
    <mergeCell ref="J55:J57"/>
    <mergeCell ref="B51:K51"/>
    <mergeCell ref="E55:E57"/>
    <mergeCell ref="F55:F57"/>
    <mergeCell ref="B53:K53"/>
    <mergeCell ref="B54:B57"/>
    <mergeCell ref="G55:G57"/>
    <mergeCell ref="F54:H54"/>
    <mergeCell ref="I54:K54"/>
    <mergeCell ref="C55:C57"/>
    <mergeCell ref="D55:D57"/>
    <mergeCell ref="H55:H57"/>
    <mergeCell ref="C54:E54"/>
    <mergeCell ref="C73:C75"/>
    <mergeCell ref="F73:F75"/>
    <mergeCell ref="H73:H75"/>
    <mergeCell ref="I73:I75"/>
    <mergeCell ref="B221:K221"/>
    <mergeCell ref="B220:K220"/>
    <mergeCell ref="D73:D75"/>
    <mergeCell ref="B72:B75"/>
    <mergeCell ref="C72:E72"/>
    <mergeCell ref="F72:H72"/>
    <mergeCell ref="E73:E75"/>
    <mergeCell ref="B91:K91"/>
    <mergeCell ref="B92:K92"/>
    <mergeCell ref="G73:G75"/>
    <mergeCell ref="N47:W47"/>
    <mergeCell ref="N48:W48"/>
    <mergeCell ref="N49:W49"/>
    <mergeCell ref="N50:W50"/>
    <mergeCell ref="N51:W51"/>
    <mergeCell ref="N53:W53"/>
    <mergeCell ref="N54:N57"/>
    <mergeCell ref="O54:Q54"/>
    <mergeCell ref="R54:T54"/>
    <mergeCell ref="U54:W54"/>
    <mergeCell ref="O55:O57"/>
    <mergeCell ref="P55:P57"/>
    <mergeCell ref="Q55:Q57"/>
    <mergeCell ref="R55:R57"/>
    <mergeCell ref="S55:S57"/>
    <mergeCell ref="T55:T57"/>
    <mergeCell ref="U55:U57"/>
    <mergeCell ref="V55:V57"/>
    <mergeCell ref="W55:W57"/>
    <mergeCell ref="AL72:AL75"/>
    <mergeCell ref="AM72:AO72"/>
    <mergeCell ref="AP72:AR72"/>
    <mergeCell ref="N72:N75"/>
    <mergeCell ref="O72:Q72"/>
    <mergeCell ref="R72:T72"/>
    <mergeCell ref="U72:W72"/>
    <mergeCell ref="O73:O75"/>
    <mergeCell ref="P73:P75"/>
    <mergeCell ref="Q73:Q75"/>
    <mergeCell ref="R73:R75"/>
    <mergeCell ref="S73:S75"/>
    <mergeCell ref="T73:T75"/>
    <mergeCell ref="U73:U75"/>
    <mergeCell ref="V73:V75"/>
    <mergeCell ref="W73:W75"/>
    <mergeCell ref="AL47:AU47"/>
    <mergeCell ref="AL48:AU48"/>
    <mergeCell ref="AL49:AU49"/>
    <mergeCell ref="AL50:AU50"/>
    <mergeCell ref="AL51:AU51"/>
    <mergeCell ref="AL53:AU53"/>
    <mergeCell ref="AL54:AL57"/>
    <mergeCell ref="AM54:AO54"/>
    <mergeCell ref="AP54:AR54"/>
    <mergeCell ref="AS54:AU54"/>
    <mergeCell ref="AM55:AM57"/>
    <mergeCell ref="AN55:AN57"/>
    <mergeCell ref="AO55:AO57"/>
    <mergeCell ref="AP55:AP57"/>
    <mergeCell ref="AQ55:AQ57"/>
    <mergeCell ref="AR55:AR57"/>
    <mergeCell ref="AS55:AS57"/>
    <mergeCell ref="AT55:AT57"/>
    <mergeCell ref="AU55:AU57"/>
    <mergeCell ref="AS72:AU72"/>
    <mergeCell ref="AM73:AM75"/>
    <mergeCell ref="AN73:AN75"/>
    <mergeCell ref="AO73:AO75"/>
    <mergeCell ref="AP73:AP75"/>
    <mergeCell ref="AQ73:AQ75"/>
    <mergeCell ref="AR73:AR75"/>
    <mergeCell ref="AS73:AS75"/>
    <mergeCell ref="AT73:AT75"/>
    <mergeCell ref="AU73:AU75"/>
    <mergeCell ref="AX47:BG47"/>
    <mergeCell ref="AX48:BG48"/>
    <mergeCell ref="AX49:BG49"/>
    <mergeCell ref="AX50:BG50"/>
    <mergeCell ref="AX51:BG51"/>
    <mergeCell ref="AX53:BG53"/>
    <mergeCell ref="AX54:AX57"/>
    <mergeCell ref="AY54:BA54"/>
    <mergeCell ref="BB54:BD54"/>
    <mergeCell ref="BE54:BG54"/>
    <mergeCell ref="AY55:AY57"/>
    <mergeCell ref="AZ55:AZ57"/>
    <mergeCell ref="BA55:BA57"/>
    <mergeCell ref="BB55:BB57"/>
    <mergeCell ref="BC55:BC57"/>
    <mergeCell ref="BD55:BD57"/>
    <mergeCell ref="BE55:BE57"/>
    <mergeCell ref="BF55:BF57"/>
    <mergeCell ref="BG55:BG57"/>
    <mergeCell ref="AX72:AX75"/>
    <mergeCell ref="AY72:BA72"/>
    <mergeCell ref="BB72:BD72"/>
    <mergeCell ref="BE72:BG72"/>
    <mergeCell ref="AY73:AY75"/>
    <mergeCell ref="AZ73:AZ75"/>
    <mergeCell ref="BA73:BA75"/>
    <mergeCell ref="BB73:BB75"/>
    <mergeCell ref="BC73:BC75"/>
    <mergeCell ref="BD73:BD75"/>
    <mergeCell ref="BE73:BE75"/>
    <mergeCell ref="BF73:BF75"/>
    <mergeCell ref="BG73:BG75"/>
    <mergeCell ref="BJ47:BS47"/>
    <mergeCell ref="BJ48:BS48"/>
    <mergeCell ref="BJ49:BS49"/>
    <mergeCell ref="BJ50:BS50"/>
    <mergeCell ref="BJ51:BS51"/>
    <mergeCell ref="BJ53:BS53"/>
    <mergeCell ref="BJ54:BJ57"/>
    <mergeCell ref="BK54:BM54"/>
    <mergeCell ref="BN54:BP54"/>
    <mergeCell ref="BQ54:BS54"/>
    <mergeCell ref="BK55:BK57"/>
    <mergeCell ref="BL55:BL57"/>
    <mergeCell ref="BM55:BM57"/>
    <mergeCell ref="BN55:BN57"/>
    <mergeCell ref="BO55:BO57"/>
    <mergeCell ref="BP55:BP57"/>
    <mergeCell ref="BQ55:BQ57"/>
    <mergeCell ref="BR55:BR57"/>
    <mergeCell ref="BS55:BS57"/>
    <mergeCell ref="BV72:BV75"/>
    <mergeCell ref="BW72:BY72"/>
    <mergeCell ref="BZ72:CB72"/>
    <mergeCell ref="BJ72:BJ75"/>
    <mergeCell ref="BK72:BM72"/>
    <mergeCell ref="BN72:BP72"/>
    <mergeCell ref="BQ72:BS72"/>
    <mergeCell ref="BK73:BK75"/>
    <mergeCell ref="BL73:BL75"/>
    <mergeCell ref="BM73:BM75"/>
    <mergeCell ref="BN73:BN75"/>
    <mergeCell ref="BO73:BO75"/>
    <mergeCell ref="BP73:BP75"/>
    <mergeCell ref="BQ73:BQ75"/>
    <mergeCell ref="BR73:BR75"/>
    <mergeCell ref="BS73:BS75"/>
    <mergeCell ref="BV47:CE47"/>
    <mergeCell ref="BV48:CE48"/>
    <mergeCell ref="BV49:CE49"/>
    <mergeCell ref="BV50:CE50"/>
    <mergeCell ref="BV51:CE51"/>
    <mergeCell ref="BV53:CE53"/>
    <mergeCell ref="BV54:BV57"/>
    <mergeCell ref="BW54:BY54"/>
    <mergeCell ref="BZ54:CB54"/>
    <mergeCell ref="CC54:CE54"/>
    <mergeCell ref="BW55:BW57"/>
    <mergeCell ref="BX55:BX57"/>
    <mergeCell ref="BY55:BY57"/>
    <mergeCell ref="BZ55:BZ57"/>
    <mergeCell ref="CA55:CA57"/>
    <mergeCell ref="CB55:CB57"/>
    <mergeCell ref="CC55:CC57"/>
    <mergeCell ref="CD55:CD57"/>
    <mergeCell ref="CE55:CE57"/>
    <mergeCell ref="CC72:CE72"/>
    <mergeCell ref="BW73:BW75"/>
    <mergeCell ref="BX73:BX75"/>
    <mergeCell ref="BY73:BY75"/>
    <mergeCell ref="BZ73:BZ75"/>
    <mergeCell ref="CA73:CA75"/>
    <mergeCell ref="CB73:CB75"/>
    <mergeCell ref="CC73:CC75"/>
    <mergeCell ref="CD73:CD75"/>
    <mergeCell ref="CE73:CE75"/>
    <mergeCell ref="BV91:CE91"/>
    <mergeCell ref="BV92:CE92"/>
    <mergeCell ref="N91:W91"/>
    <mergeCell ref="N92:W92"/>
    <mergeCell ref="Z91:AI91"/>
    <mergeCell ref="Z92:AI92"/>
    <mergeCell ref="AL91:AU91"/>
    <mergeCell ref="AL92:AU92"/>
    <mergeCell ref="AX91:BG91"/>
    <mergeCell ref="AX92:BG92"/>
    <mergeCell ref="BJ91:BS91"/>
    <mergeCell ref="BJ92:BS92"/>
  </mergeCells>
  <phoneticPr fontId="0" type="noConversion"/>
  <printOptions horizontalCentered="1"/>
  <pageMargins left="0.59055118110236227" right="0.59055118110236227" top="0.59055118110236227" bottom="0.59055118110236227" header="0" footer="0"/>
  <pageSetup scale="5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36"/>
  <sheetViews>
    <sheetView workbookViewId="0">
      <selection activeCell="M30" sqref="M30"/>
    </sheetView>
  </sheetViews>
  <sheetFormatPr baseColWidth="10" defaultColWidth="10.6640625" defaultRowHeight="15" customHeight="1" x14ac:dyDescent="0.25"/>
  <cols>
    <col min="1" max="1" width="2.6640625" style="93" customWidth="1"/>
    <col min="2" max="9" width="10.6640625" style="93" customWidth="1"/>
    <col min="10" max="10" width="2.6640625" style="93" customWidth="1"/>
    <col min="11" max="11" width="10.6640625" style="93" customWidth="1"/>
    <col min="12" max="14" width="12.6640625" style="94" customWidth="1"/>
    <col min="15" max="16384" width="10.6640625" style="93"/>
  </cols>
  <sheetData>
    <row r="1" spans="2:14" ht="15" customHeight="1" x14ac:dyDescent="0.25">
      <c r="B1" s="843" t="s">
        <v>57</v>
      </c>
      <c r="C1" s="843"/>
      <c r="D1" s="843"/>
      <c r="E1" s="843"/>
      <c r="F1" s="843"/>
      <c r="G1" s="843"/>
      <c r="H1" s="843"/>
      <c r="I1" s="843"/>
    </row>
    <row r="2" spans="2:14" ht="15" customHeight="1" x14ac:dyDescent="0.25">
      <c r="B2" s="844" t="s">
        <v>67</v>
      </c>
      <c r="C2" s="844"/>
      <c r="D2" s="844"/>
      <c r="E2" s="844"/>
      <c r="F2" s="844"/>
      <c r="G2" s="844"/>
      <c r="H2" s="844"/>
      <c r="I2" s="844"/>
    </row>
    <row r="3" spans="2:14" ht="15" customHeight="1" thickBot="1" x14ac:dyDescent="0.3">
      <c r="B3" s="844" t="s">
        <v>1</v>
      </c>
      <c r="C3" s="844"/>
      <c r="D3" s="844"/>
      <c r="E3" s="844"/>
      <c r="F3" s="844"/>
      <c r="G3" s="844"/>
      <c r="H3" s="844"/>
      <c r="I3" s="844"/>
    </row>
    <row r="4" spans="2:14" ht="15" customHeight="1" x14ac:dyDescent="0.25">
      <c r="K4" s="850" t="s">
        <v>82</v>
      </c>
      <c r="L4" s="502" t="s">
        <v>49</v>
      </c>
      <c r="M4" s="848" t="s">
        <v>50</v>
      </c>
      <c r="N4" s="849"/>
    </row>
    <row r="5" spans="2:14" ht="15" customHeight="1" thickBot="1" x14ac:dyDescent="0.3">
      <c r="K5" s="851"/>
      <c r="L5" s="503" t="s">
        <v>48</v>
      </c>
      <c r="M5" s="504" t="s">
        <v>81</v>
      </c>
      <c r="N5" s="505" t="s">
        <v>148</v>
      </c>
    </row>
    <row r="6" spans="2:14" ht="15" customHeight="1" x14ac:dyDescent="0.25">
      <c r="K6" s="499">
        <v>1996</v>
      </c>
      <c r="L6" s="157">
        <v>14687.9</v>
      </c>
      <c r="M6" s="158">
        <v>295919467</v>
      </c>
      <c r="N6" s="159">
        <v>20.149999999999999</v>
      </c>
    </row>
    <row r="7" spans="2:14" ht="15" customHeight="1" x14ac:dyDescent="0.25">
      <c r="K7" s="500">
        <v>1997</v>
      </c>
      <c r="L7" s="160">
        <v>14825.8</v>
      </c>
      <c r="M7" s="102">
        <v>262180823</v>
      </c>
      <c r="N7" s="161">
        <v>17.68</v>
      </c>
    </row>
    <row r="8" spans="2:14" ht="15" customHeight="1" x14ac:dyDescent="0.25">
      <c r="K8" s="500">
        <v>1998</v>
      </c>
      <c r="L8" s="160">
        <v>16628.099999999999</v>
      </c>
      <c r="M8" s="102">
        <v>181533129</v>
      </c>
      <c r="N8" s="161">
        <v>10.92</v>
      </c>
    </row>
    <row r="9" spans="2:14" ht="15" customHeight="1" x14ac:dyDescent="0.25">
      <c r="K9" s="500">
        <v>1999</v>
      </c>
      <c r="L9" s="160">
        <v>18001.3</v>
      </c>
      <c r="M9" s="102">
        <v>301897638</v>
      </c>
      <c r="N9" s="161">
        <v>16.77</v>
      </c>
    </row>
    <row r="10" spans="2:14" ht="15" customHeight="1" x14ac:dyDescent="0.25">
      <c r="K10" s="500">
        <v>2000</v>
      </c>
      <c r="L10" s="160">
        <v>16192.7</v>
      </c>
      <c r="M10" s="102">
        <v>458495935</v>
      </c>
      <c r="N10" s="162">
        <v>28.31</v>
      </c>
    </row>
    <row r="11" spans="2:14" ht="15" customHeight="1" x14ac:dyDescent="0.25">
      <c r="K11" s="500">
        <v>2001</v>
      </c>
      <c r="L11" s="160">
        <v>20621</v>
      </c>
      <c r="M11" s="102">
        <v>456359856</v>
      </c>
      <c r="N11" s="162">
        <v>22.13</v>
      </c>
    </row>
    <row r="12" spans="2:14" ht="15" customHeight="1" thickBot="1" x14ac:dyDescent="0.3">
      <c r="K12" s="501">
        <v>2002</v>
      </c>
      <c r="L12" s="163">
        <v>9843</v>
      </c>
      <c r="M12" s="104">
        <v>221682308</v>
      </c>
      <c r="N12" s="164">
        <v>22.52</v>
      </c>
    </row>
    <row r="26" spans="2:6" ht="15" customHeight="1" x14ac:dyDescent="0.25">
      <c r="B26" s="47" t="s">
        <v>259</v>
      </c>
      <c r="C26" s="47"/>
      <c r="D26" s="47"/>
      <c r="E26" s="47"/>
      <c r="F26" s="47"/>
    </row>
    <row r="34" spans="11:12" ht="15" customHeight="1" x14ac:dyDescent="0.25">
      <c r="K34" s="4"/>
      <c r="L34" s="4"/>
    </row>
    <row r="35" spans="11:12" ht="15" customHeight="1" x14ac:dyDescent="0.25">
      <c r="K35" s="4"/>
      <c r="L35" s="4"/>
    </row>
    <row r="36" spans="11:12" ht="15" customHeight="1" x14ac:dyDescent="0.25">
      <c r="K36" s="4"/>
      <c r="L36" s="4"/>
    </row>
  </sheetData>
  <mergeCells count="5">
    <mergeCell ref="M4:N4"/>
    <mergeCell ref="B1:I1"/>
    <mergeCell ref="B2:I2"/>
    <mergeCell ref="B3:I3"/>
    <mergeCell ref="K4:K5"/>
  </mergeCells>
  <phoneticPr fontId="10" type="noConversion"/>
  <pageMargins left="0.75" right="0.75" top="1" bottom="1" header="0" footer="0"/>
  <pageSetup scale="88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1:AA33"/>
  <sheetViews>
    <sheetView tabSelected="1" workbookViewId="0">
      <selection activeCell="S35" sqref="S35"/>
    </sheetView>
  </sheetViews>
  <sheetFormatPr baseColWidth="10" defaultColWidth="10.6640625" defaultRowHeight="15" customHeight="1" x14ac:dyDescent="0.25"/>
  <cols>
    <col min="1" max="1" width="2.6640625" style="93" customWidth="1"/>
    <col min="2" max="10" width="10.6640625" style="93" customWidth="1"/>
    <col min="11" max="11" width="15" style="93" customWidth="1"/>
    <col min="12" max="14" width="9.88671875" style="93" customWidth="1"/>
    <col min="15" max="17" width="9.5546875" style="93" customWidth="1"/>
    <col min="18" max="18" width="2.109375" style="93" customWidth="1"/>
    <col min="19" max="26" width="10.6640625" style="93" customWidth="1"/>
    <col min="27" max="27" width="12.33203125" style="93" customWidth="1"/>
    <col min="28" max="16384" width="10.6640625" style="93"/>
  </cols>
  <sheetData>
    <row r="1" spans="2:25" ht="15" customHeight="1" x14ac:dyDescent="0.25">
      <c r="B1" s="843" t="s">
        <v>59</v>
      </c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96"/>
      <c r="S1" s="96"/>
      <c r="T1" s="96"/>
    </row>
    <row r="2" spans="2:25" ht="15" customHeight="1" x14ac:dyDescent="0.25">
      <c r="B2" s="844" t="s">
        <v>69</v>
      </c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96"/>
      <c r="S2" s="96"/>
      <c r="T2" s="96"/>
    </row>
    <row r="3" spans="2:25" ht="15" customHeight="1" thickBot="1" x14ac:dyDescent="0.3">
      <c r="B3" s="844" t="s">
        <v>311</v>
      </c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96"/>
      <c r="S3" s="96"/>
      <c r="T3" s="96"/>
    </row>
    <row r="4" spans="2:25" ht="15" customHeight="1" x14ac:dyDescent="0.25">
      <c r="S4" s="853" t="s">
        <v>310</v>
      </c>
      <c r="T4" s="854"/>
      <c r="U4" s="854"/>
      <c r="V4" s="854"/>
      <c r="W4" s="854"/>
      <c r="X4" s="854"/>
      <c r="Y4" s="855"/>
    </row>
    <row r="5" spans="2:25" ht="15" customHeight="1" thickBot="1" x14ac:dyDescent="0.3">
      <c r="S5" s="856" t="s">
        <v>98</v>
      </c>
      <c r="T5" s="857"/>
      <c r="U5" s="857"/>
      <c r="V5" s="857"/>
      <c r="W5" s="857"/>
      <c r="X5" s="857"/>
      <c r="Y5" s="858"/>
    </row>
    <row r="6" spans="2:25" ht="15" customHeight="1" thickBot="1" x14ac:dyDescent="0.3">
      <c r="S6" s="97"/>
      <c r="T6" s="95"/>
      <c r="U6" s="852"/>
      <c r="V6" s="852"/>
      <c r="W6" s="852"/>
      <c r="X6" s="852"/>
      <c r="Y6" s="95"/>
    </row>
    <row r="7" spans="2:25" ht="15" customHeight="1" thickBot="1" x14ac:dyDescent="0.3">
      <c r="S7" s="510" t="s">
        <v>82</v>
      </c>
      <c r="T7" s="511" t="s">
        <v>78</v>
      </c>
      <c r="U7" s="512" t="s">
        <v>52</v>
      </c>
      <c r="V7" s="512" t="s">
        <v>54</v>
      </c>
      <c r="W7" s="512" t="s">
        <v>53</v>
      </c>
      <c r="X7" s="512" t="s">
        <v>55</v>
      </c>
      <c r="Y7" s="513" t="s">
        <v>84</v>
      </c>
    </row>
    <row r="8" spans="2:25" ht="15" customHeight="1" x14ac:dyDescent="0.25">
      <c r="S8" s="514">
        <v>1996</v>
      </c>
      <c r="T8" s="98">
        <v>402165</v>
      </c>
      <c r="U8" s="99">
        <v>112835</v>
      </c>
      <c r="V8" s="108">
        <v>149735</v>
      </c>
      <c r="W8" s="99">
        <v>78130</v>
      </c>
      <c r="X8" s="108">
        <v>41064</v>
      </c>
      <c r="Y8" s="100">
        <f>+T8-U8-V8-W8-X8</f>
        <v>20401</v>
      </c>
    </row>
    <row r="9" spans="2:25" ht="15" customHeight="1" x14ac:dyDescent="0.25">
      <c r="S9" s="515">
        <v>1997</v>
      </c>
      <c r="T9" s="101">
        <v>455628</v>
      </c>
      <c r="U9" s="102">
        <v>121154</v>
      </c>
      <c r="V9" s="109">
        <v>181983</v>
      </c>
      <c r="W9" s="102">
        <v>72998</v>
      </c>
      <c r="X9" s="109">
        <v>42101</v>
      </c>
      <c r="Y9" s="103">
        <f>+T9-U9-V9-W9-X9</f>
        <v>37392</v>
      </c>
    </row>
    <row r="10" spans="2:25" ht="15" customHeight="1" x14ac:dyDescent="0.25">
      <c r="S10" s="515">
        <v>1998</v>
      </c>
      <c r="T10" s="101">
        <v>541447</v>
      </c>
      <c r="U10" s="102">
        <v>135616</v>
      </c>
      <c r="V10" s="109">
        <v>226489</v>
      </c>
      <c r="W10" s="102">
        <v>91760</v>
      </c>
      <c r="X10" s="109">
        <v>44869</v>
      </c>
      <c r="Y10" s="103">
        <f>+T10-U10-V10-W10-X10</f>
        <v>42713</v>
      </c>
    </row>
    <row r="11" spans="2:25" ht="15" customHeight="1" x14ac:dyDescent="0.25">
      <c r="S11" s="515">
        <v>1999</v>
      </c>
      <c r="T11" s="101">
        <v>486321</v>
      </c>
      <c r="U11" s="102">
        <f>83931+46256+12579</f>
        <v>142766</v>
      </c>
      <c r="V11" s="109">
        <v>181085</v>
      </c>
      <c r="W11" s="102">
        <v>81770</v>
      </c>
      <c r="X11" s="109">
        <v>48214</v>
      </c>
      <c r="Y11" s="103">
        <f>+T11-U11-V11-W11-X11</f>
        <v>32486</v>
      </c>
    </row>
    <row r="12" spans="2:25" ht="15" customHeight="1" x14ac:dyDescent="0.25">
      <c r="S12" s="516">
        <v>2000</v>
      </c>
      <c r="T12" s="147">
        <v>426260</v>
      </c>
      <c r="U12" s="148">
        <f>63715+64650+10733</f>
        <v>139098</v>
      </c>
      <c r="V12" s="149">
        <v>172230</v>
      </c>
      <c r="W12" s="148">
        <v>33192</v>
      </c>
      <c r="X12" s="149">
        <v>48380</v>
      </c>
      <c r="Y12" s="150">
        <f>+T12-U12-V12-W12-X12</f>
        <v>33360</v>
      </c>
    </row>
    <row r="13" spans="2:25" ht="15" customHeight="1" x14ac:dyDescent="0.25">
      <c r="S13" s="516">
        <v>2001</v>
      </c>
      <c r="T13" s="147">
        <f t="shared" ref="T13:T18" si="0">SUM(U13:Y13)</f>
        <v>492047</v>
      </c>
      <c r="U13" s="148">
        <f>31118+94304+3635+8913</f>
        <v>137970</v>
      </c>
      <c r="V13" s="149">
        <v>175221</v>
      </c>
      <c r="W13" s="148">
        <v>73551</v>
      </c>
      <c r="X13" s="149">
        <v>48934</v>
      </c>
      <c r="Y13" s="150">
        <f>3040+6989+70+44730+1542</f>
        <v>56371</v>
      </c>
    </row>
    <row r="14" spans="2:25" ht="15" customHeight="1" x14ac:dyDescent="0.25">
      <c r="S14" s="515">
        <v>2002</v>
      </c>
      <c r="T14" s="102">
        <f t="shared" si="0"/>
        <v>501800</v>
      </c>
      <c r="U14" s="102">
        <v>140817</v>
      </c>
      <c r="V14" s="109">
        <v>180187</v>
      </c>
      <c r="W14" s="102">
        <v>72213</v>
      </c>
      <c r="X14" s="109">
        <v>49209</v>
      </c>
      <c r="Y14" s="103">
        <v>59374</v>
      </c>
    </row>
    <row r="15" spans="2:25" ht="15" customHeight="1" x14ac:dyDescent="0.25">
      <c r="S15" s="515">
        <v>2003</v>
      </c>
      <c r="T15" s="102">
        <f t="shared" si="0"/>
        <v>621165</v>
      </c>
      <c r="U15" s="102">
        <f>52013+92065+27</f>
        <v>144105</v>
      </c>
      <c r="V15" s="109">
        <v>202815</v>
      </c>
      <c r="W15" s="102">
        <v>114644</v>
      </c>
      <c r="X15" s="109">
        <v>47686</v>
      </c>
      <c r="Y15" s="103">
        <f>3407+44688+25+6365+56813+617</f>
        <v>111915</v>
      </c>
    </row>
    <row r="16" spans="2:25" ht="15" customHeight="1" x14ac:dyDescent="0.25">
      <c r="S16" s="500">
        <v>2004</v>
      </c>
      <c r="T16" s="160">
        <f t="shared" si="0"/>
        <v>604507</v>
      </c>
      <c r="U16" s="102">
        <v>152161</v>
      </c>
      <c r="V16" s="109">
        <v>212312</v>
      </c>
      <c r="W16" s="102">
        <v>103328</v>
      </c>
      <c r="X16" s="109">
        <v>52694</v>
      </c>
      <c r="Y16" s="330">
        <f>16207+2841+6290+391+56204+2079</f>
        <v>84012</v>
      </c>
    </row>
    <row r="17" spans="19:27" ht="15" customHeight="1" x14ac:dyDescent="0.25">
      <c r="S17" s="500">
        <v>2005</v>
      </c>
      <c r="T17" s="160">
        <f t="shared" si="0"/>
        <v>599727</v>
      </c>
      <c r="U17" s="102">
        <v>146100</v>
      </c>
      <c r="V17" s="109">
        <v>200809</v>
      </c>
      <c r="W17" s="102">
        <v>118826</v>
      </c>
      <c r="X17" s="109">
        <v>56253</v>
      </c>
      <c r="Y17" s="330">
        <f>1231+6329+444+60581+2730+6424</f>
        <v>77739</v>
      </c>
    </row>
    <row r="18" spans="19:27" ht="15" customHeight="1" x14ac:dyDescent="0.25">
      <c r="S18" s="500">
        <v>2006</v>
      </c>
      <c r="T18" s="160">
        <f t="shared" si="0"/>
        <v>636233</v>
      </c>
      <c r="U18" s="102">
        <v>148310</v>
      </c>
      <c r="V18" s="109">
        <v>201026</v>
      </c>
      <c r="W18" s="102">
        <v>127690</v>
      </c>
      <c r="X18" s="109">
        <v>62544</v>
      </c>
      <c r="Y18" s="330">
        <f>9295+825+12798+424+69714+3607</f>
        <v>96663</v>
      </c>
    </row>
    <row r="19" spans="19:27" ht="15" customHeight="1" x14ac:dyDescent="0.25">
      <c r="S19" s="500">
        <v>2007</v>
      </c>
      <c r="T19" s="160">
        <f t="shared" ref="T19:T24" si="1">SUM(U19:Y19)</f>
        <v>731409</v>
      </c>
      <c r="U19" s="102">
        <v>163695</v>
      </c>
      <c r="V19" s="109">
        <v>264539</v>
      </c>
      <c r="W19" s="102">
        <v>122567</v>
      </c>
      <c r="X19" s="109">
        <v>65523</v>
      </c>
      <c r="Y19" s="330">
        <v>115085</v>
      </c>
    </row>
    <row r="20" spans="19:27" ht="15" customHeight="1" x14ac:dyDescent="0.25">
      <c r="S20" s="500">
        <v>2008</v>
      </c>
      <c r="T20" s="160">
        <f t="shared" si="1"/>
        <v>740721</v>
      </c>
      <c r="U20" s="102">
        <v>170182</v>
      </c>
      <c r="V20" s="109">
        <v>285124</v>
      </c>
      <c r="W20" s="102">
        <v>102948</v>
      </c>
      <c r="X20" s="109">
        <v>67094</v>
      </c>
      <c r="Y20" s="330">
        <v>115373</v>
      </c>
    </row>
    <row r="21" spans="19:27" ht="15" customHeight="1" x14ac:dyDescent="0.25">
      <c r="S21" s="500">
        <v>2009</v>
      </c>
      <c r="T21" s="160">
        <f t="shared" si="1"/>
        <v>762122</v>
      </c>
      <c r="U21" s="102">
        <v>197475</v>
      </c>
      <c r="V21" s="109">
        <v>285786</v>
      </c>
      <c r="W21" s="102">
        <v>85231</v>
      </c>
      <c r="X21" s="109">
        <v>67556</v>
      </c>
      <c r="Y21" s="330">
        <v>126074</v>
      </c>
    </row>
    <row r="22" spans="19:27" ht="15" customHeight="1" x14ac:dyDescent="0.25">
      <c r="S22" s="500">
        <v>2010</v>
      </c>
      <c r="T22" s="160">
        <f t="shared" si="1"/>
        <v>850700</v>
      </c>
      <c r="U22" s="102">
        <v>211606</v>
      </c>
      <c r="V22" s="109">
        <v>330023</v>
      </c>
      <c r="W22" s="102">
        <v>104691</v>
      </c>
      <c r="X22" s="109">
        <f>48097+22251</f>
        <v>70348</v>
      </c>
      <c r="Y22" s="330">
        <v>134032</v>
      </c>
    </row>
    <row r="23" spans="19:27" ht="15" customHeight="1" x14ac:dyDescent="0.25">
      <c r="S23" s="500">
        <v>2011</v>
      </c>
      <c r="T23" s="160">
        <f t="shared" si="1"/>
        <v>946147</v>
      </c>
      <c r="U23" s="102">
        <v>220396</v>
      </c>
      <c r="V23" s="109">
        <v>378767</v>
      </c>
      <c r="W23" s="102">
        <v>114946</v>
      </c>
      <c r="X23" s="109">
        <f>52101+21144</f>
        <v>73245</v>
      </c>
      <c r="Y23" s="330">
        <f>1305+982+135524+406+20576</f>
        <v>158793</v>
      </c>
    </row>
    <row r="24" spans="19:27" ht="15" customHeight="1" x14ac:dyDescent="0.25">
      <c r="S24" s="500">
        <v>2012</v>
      </c>
      <c r="T24" s="160">
        <f t="shared" si="1"/>
        <v>967295</v>
      </c>
      <c r="U24" s="102">
        <v>233892</v>
      </c>
      <c r="V24" s="109">
        <v>353421</v>
      </c>
      <c r="W24" s="102">
        <v>120826</v>
      </c>
      <c r="X24" s="109">
        <v>76420</v>
      </c>
      <c r="Y24" s="330">
        <v>182736</v>
      </c>
    </row>
    <row r="25" spans="19:27" ht="15" customHeight="1" x14ac:dyDescent="0.25">
      <c r="S25" s="688">
        <v>2013</v>
      </c>
      <c r="T25" s="689">
        <f t="shared" ref="T25:T30" si="2">SUM(U25:Y25)</f>
        <v>991450</v>
      </c>
      <c r="U25" s="148">
        <v>244131</v>
      </c>
      <c r="V25" s="149">
        <v>378107</v>
      </c>
      <c r="W25" s="148">
        <v>101530</v>
      </c>
      <c r="X25" s="149">
        <v>79355</v>
      </c>
      <c r="Y25" s="690">
        <v>188327</v>
      </c>
    </row>
    <row r="26" spans="19:27" ht="15" customHeight="1" x14ac:dyDescent="0.25">
      <c r="S26" s="500">
        <v>2014</v>
      </c>
      <c r="T26" s="160">
        <f t="shared" si="2"/>
        <v>1050501</v>
      </c>
      <c r="U26" s="102">
        <v>263114</v>
      </c>
      <c r="V26" s="109">
        <v>433382</v>
      </c>
      <c r="W26" s="102">
        <v>55073</v>
      </c>
      <c r="X26" s="109">
        <v>84614</v>
      </c>
      <c r="Y26" s="330">
        <v>214318</v>
      </c>
      <c r="AA26" s="468"/>
    </row>
    <row r="27" spans="19:27" ht="15" customHeight="1" x14ac:dyDescent="0.25">
      <c r="S27" s="500">
        <v>2015</v>
      </c>
      <c r="T27" s="160">
        <f t="shared" si="2"/>
        <v>1084236</v>
      </c>
      <c r="U27" s="102">
        <v>288230</v>
      </c>
      <c r="V27" s="109">
        <v>361974</v>
      </c>
      <c r="W27" s="102">
        <v>119012</v>
      </c>
      <c r="X27" s="109">
        <v>86082</v>
      </c>
      <c r="Y27" s="330">
        <v>228938</v>
      </c>
    </row>
    <row r="28" spans="19:27" ht="15" customHeight="1" x14ac:dyDescent="0.25">
      <c r="S28" s="500">
        <v>2016</v>
      </c>
      <c r="T28" s="160">
        <f t="shared" si="2"/>
        <v>1127933</v>
      </c>
      <c r="U28" s="102">
        <v>310013</v>
      </c>
      <c r="V28" s="109">
        <v>350717</v>
      </c>
      <c r="W28" s="102">
        <v>133652</v>
      </c>
      <c r="X28" s="109">
        <v>90974</v>
      </c>
      <c r="Y28" s="330">
        <v>242577</v>
      </c>
    </row>
    <row r="29" spans="19:27" ht="15" customHeight="1" x14ac:dyDescent="0.25">
      <c r="S29" s="688">
        <v>2017</v>
      </c>
      <c r="T29" s="689">
        <f t="shared" si="2"/>
        <v>1151917</v>
      </c>
      <c r="U29" s="148">
        <v>327795</v>
      </c>
      <c r="V29" s="149">
        <v>370206</v>
      </c>
      <c r="W29" s="148">
        <v>114030</v>
      </c>
      <c r="X29" s="149">
        <v>93762</v>
      </c>
      <c r="Y29" s="690">
        <v>246124</v>
      </c>
    </row>
    <row r="30" spans="19:27" ht="15" customHeight="1" x14ac:dyDescent="0.25">
      <c r="S30" s="688">
        <v>2018</v>
      </c>
      <c r="T30" s="689">
        <f t="shared" si="2"/>
        <v>1107147</v>
      </c>
      <c r="U30" s="148">
        <v>330765</v>
      </c>
      <c r="V30" s="149">
        <v>365939</v>
      </c>
      <c r="W30" s="148">
        <v>59618</v>
      </c>
      <c r="X30" s="149">
        <v>97473</v>
      </c>
      <c r="Y30" s="690">
        <v>253352</v>
      </c>
    </row>
    <row r="31" spans="19:27" ht="15" customHeight="1" x14ac:dyDescent="0.25">
      <c r="S31" s="688">
        <v>2019</v>
      </c>
      <c r="T31" s="689">
        <f t="shared" ref="T31" si="3">SUM(U31:Y31)</f>
        <v>1128716</v>
      </c>
      <c r="U31" s="148">
        <v>339421</v>
      </c>
      <c r="V31" s="149">
        <v>368537</v>
      </c>
      <c r="W31" s="148">
        <v>66377</v>
      </c>
      <c r="X31" s="149">
        <v>97527</v>
      </c>
      <c r="Y31" s="690">
        <v>256854</v>
      </c>
    </row>
    <row r="32" spans="19:27" ht="15" customHeight="1" x14ac:dyDescent="0.25">
      <c r="S32" s="688">
        <v>2020</v>
      </c>
      <c r="T32" s="689">
        <f t="shared" ref="T32" si="4">SUM(U32:Y32)</f>
        <v>723058</v>
      </c>
      <c r="U32" s="148">
        <v>241640</v>
      </c>
      <c r="V32" s="149">
        <v>273706</v>
      </c>
      <c r="W32" s="148">
        <v>20480</v>
      </c>
      <c r="X32" s="149">
        <v>93747</v>
      </c>
      <c r="Y32" s="690">
        <v>93485</v>
      </c>
    </row>
    <row r="33" spans="19:25" ht="15" customHeight="1" thickBot="1" x14ac:dyDescent="0.3">
      <c r="S33" s="501">
        <v>2021</v>
      </c>
      <c r="T33" s="163">
        <f t="shared" ref="T33" si="5">SUM(U33:Y33)</f>
        <v>921515</v>
      </c>
      <c r="U33" s="104">
        <v>310218</v>
      </c>
      <c r="V33" s="110">
        <v>343216</v>
      </c>
      <c r="W33" s="104">
        <v>25668</v>
      </c>
      <c r="X33" s="110">
        <v>98662</v>
      </c>
      <c r="Y33" s="329">
        <v>143751</v>
      </c>
    </row>
  </sheetData>
  <mergeCells count="7">
    <mergeCell ref="W6:X6"/>
    <mergeCell ref="S4:Y4"/>
    <mergeCell ref="S5:Y5"/>
    <mergeCell ref="U6:V6"/>
    <mergeCell ref="B1:Q1"/>
    <mergeCell ref="B2:Q2"/>
    <mergeCell ref="B3:Q3"/>
  </mergeCells>
  <phoneticPr fontId="0" type="noConversion"/>
  <printOptions gridLines="1" gridLinesSet="0"/>
  <pageMargins left="0.75" right="0.75" top="1" bottom="1" header="0.511811024" footer="0.511811024"/>
  <pageSetup orientation="portrait" horizontalDpi="360" verticalDpi="300" r:id="rId1"/>
  <headerFooter alignWithMargins="0">
    <oddHeader>&amp;A</oddHead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2:AK160"/>
  <sheetViews>
    <sheetView workbookViewId="0">
      <pane ySplit="4" topLeftCell="A5" activePane="bottomLeft" state="frozen"/>
      <selection pane="bottomLeft" activeCell="I37" sqref="I37"/>
    </sheetView>
  </sheetViews>
  <sheetFormatPr baseColWidth="10" defaultColWidth="10.6640625" defaultRowHeight="15" customHeight="1" x14ac:dyDescent="0.25"/>
  <cols>
    <col min="1" max="1" width="2.6640625" style="14" customWidth="1"/>
    <col min="2" max="11" width="10.6640625" style="93" customWidth="1"/>
    <col min="12" max="12" width="16.44140625" style="93" customWidth="1"/>
    <col min="13" max="13" width="2.6640625" style="93" customWidth="1"/>
    <col min="14" max="18" width="10.6640625" style="93"/>
    <col min="19" max="19" width="1.6640625" style="93" customWidth="1"/>
    <col min="20" max="24" width="10.6640625" style="93"/>
    <col min="25" max="25" width="1.33203125" style="93" customWidth="1"/>
    <col min="26" max="26" width="10.6640625" style="93"/>
    <col min="27" max="27" width="11.5546875" style="93" bestFit="1" customWidth="1"/>
    <col min="28" max="30" width="10.6640625" style="93"/>
    <col min="31" max="31" width="1.21875" style="93" customWidth="1"/>
    <col min="32" max="32" width="10.88671875" style="93" bestFit="1" customWidth="1"/>
    <col min="33" max="33" width="12.5546875" style="93" bestFit="1" customWidth="1"/>
    <col min="34" max="16384" width="10.6640625" style="93"/>
  </cols>
  <sheetData>
    <row r="2" spans="1:36" ht="15" customHeight="1" thickBot="1" x14ac:dyDescent="0.3">
      <c r="A2" s="45"/>
      <c r="B2" s="864" t="s">
        <v>60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N2" s="862" t="s">
        <v>213</v>
      </c>
      <c r="O2" s="863"/>
      <c r="P2" s="863"/>
      <c r="Q2" s="863"/>
      <c r="R2" s="863"/>
      <c r="S2" s="863"/>
      <c r="T2" s="863"/>
      <c r="U2" s="863"/>
      <c r="V2" s="863"/>
      <c r="W2" s="863"/>
      <c r="X2" s="863"/>
      <c r="Y2" s="863"/>
      <c r="Z2" s="863"/>
      <c r="AA2" s="863"/>
      <c r="AB2" s="863"/>
      <c r="AC2" s="863"/>
      <c r="AD2" s="863"/>
      <c r="AE2" s="863"/>
      <c r="AF2" s="863"/>
      <c r="AG2" s="863"/>
      <c r="AH2" s="863"/>
      <c r="AI2" s="863"/>
      <c r="AJ2" s="863"/>
    </row>
    <row r="3" spans="1:36" ht="15" customHeight="1" x14ac:dyDescent="0.25">
      <c r="A3" s="45"/>
      <c r="B3" s="864" t="s">
        <v>61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N3" s="859" t="s">
        <v>212</v>
      </c>
      <c r="O3" s="860"/>
      <c r="P3" s="860"/>
      <c r="Q3" s="860"/>
      <c r="R3" s="861"/>
      <c r="T3" s="859" t="s">
        <v>225</v>
      </c>
      <c r="U3" s="860"/>
      <c r="V3" s="860"/>
      <c r="W3" s="860"/>
      <c r="X3" s="861"/>
      <c r="Y3" s="667"/>
      <c r="Z3" s="859" t="s">
        <v>305</v>
      </c>
      <c r="AA3" s="860"/>
      <c r="AB3" s="860"/>
      <c r="AC3" s="860"/>
      <c r="AD3" s="861"/>
      <c r="AF3" s="859">
        <v>2021</v>
      </c>
      <c r="AG3" s="860"/>
      <c r="AH3" s="860"/>
      <c r="AI3" s="860"/>
      <c r="AJ3" s="861"/>
    </row>
    <row r="4" spans="1:36" ht="15" customHeight="1" thickBot="1" x14ac:dyDescent="0.3">
      <c r="A4" s="48"/>
      <c r="B4" s="844" t="s">
        <v>312</v>
      </c>
      <c r="C4" s="844"/>
      <c r="D4" s="844"/>
      <c r="E4" s="844"/>
      <c r="F4" s="844"/>
      <c r="G4" s="844"/>
      <c r="H4" s="844"/>
      <c r="I4" s="844"/>
      <c r="J4" s="844"/>
      <c r="K4" s="844"/>
      <c r="L4" s="844"/>
      <c r="N4" s="478" t="s">
        <v>39</v>
      </c>
      <c r="O4" s="479" t="s">
        <v>70</v>
      </c>
      <c r="P4" s="480" t="s">
        <v>71</v>
      </c>
      <c r="Q4" s="481" t="s">
        <v>72</v>
      </c>
      <c r="R4" s="482" t="s">
        <v>218</v>
      </c>
      <c r="T4" s="478" t="s">
        <v>39</v>
      </c>
      <c r="U4" s="479" t="s">
        <v>70</v>
      </c>
      <c r="V4" s="480" t="s">
        <v>71</v>
      </c>
      <c r="W4" s="481" t="s">
        <v>72</v>
      </c>
      <c r="X4" s="482" t="s">
        <v>218</v>
      </c>
      <c r="Y4" s="668"/>
      <c r="Z4" s="478" t="s">
        <v>39</v>
      </c>
      <c r="AA4" s="479" t="s">
        <v>70</v>
      </c>
      <c r="AB4" s="480" t="s">
        <v>71</v>
      </c>
      <c r="AC4" s="481" t="s">
        <v>72</v>
      </c>
      <c r="AD4" s="482" t="s">
        <v>218</v>
      </c>
      <c r="AF4" s="478" t="s">
        <v>39</v>
      </c>
      <c r="AG4" s="479" t="s">
        <v>70</v>
      </c>
      <c r="AH4" s="480" t="s">
        <v>71</v>
      </c>
      <c r="AI4" s="481" t="s">
        <v>72</v>
      </c>
      <c r="AJ4" s="482" t="s">
        <v>218</v>
      </c>
    </row>
    <row r="5" spans="1:36" ht="15" customHeight="1" thickBot="1" x14ac:dyDescent="0.3">
      <c r="N5" s="517"/>
      <c r="O5" s="518"/>
      <c r="P5" s="518"/>
      <c r="Q5" s="518"/>
      <c r="R5" s="519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F5" s="477"/>
      <c r="AG5" s="477"/>
      <c r="AH5" s="477"/>
      <c r="AI5" s="477"/>
      <c r="AJ5" s="477"/>
    </row>
    <row r="6" spans="1:36" ht="15" customHeight="1" x14ac:dyDescent="0.25">
      <c r="N6" s="469">
        <v>35796</v>
      </c>
      <c r="O6" s="122">
        <v>25.18387741935484</v>
      </c>
      <c r="P6" s="123">
        <v>23.992567741935478</v>
      </c>
      <c r="Q6" s="124">
        <v>19.225703225806456</v>
      </c>
      <c r="R6" s="135"/>
      <c r="T6" s="469">
        <v>36892</v>
      </c>
      <c r="U6" s="122">
        <v>40.525664516129034</v>
      </c>
      <c r="V6" s="123">
        <v>39.340993548387097</v>
      </c>
      <c r="W6" s="124">
        <v>33.464109677419358</v>
      </c>
      <c r="X6" s="135">
        <v>15.507741935483871</v>
      </c>
      <c r="Y6" s="669"/>
      <c r="Z6" s="469">
        <v>40544</v>
      </c>
      <c r="AA6" s="122">
        <v>110.25</v>
      </c>
      <c r="AB6" s="123">
        <v>104.73</v>
      </c>
      <c r="AC6" s="124">
        <v>82.68</v>
      </c>
      <c r="AD6" s="135"/>
      <c r="AF6" s="839">
        <v>44197</v>
      </c>
      <c r="AG6" s="122">
        <v>69.050799999999995</v>
      </c>
      <c r="AH6" s="123"/>
      <c r="AI6" s="124">
        <v>52.973200000000006</v>
      </c>
      <c r="AJ6" s="135"/>
    </row>
    <row r="7" spans="1:36" ht="15" customHeight="1" x14ac:dyDescent="0.25">
      <c r="N7" s="470">
        <v>35827</v>
      </c>
      <c r="O7" s="112">
        <v>23.442600000000002</v>
      </c>
      <c r="P7" s="113">
        <v>22.029899999999998</v>
      </c>
      <c r="Q7" s="114">
        <v>16.380450000000003</v>
      </c>
      <c r="R7" s="132"/>
      <c r="T7" s="470">
        <v>36923</v>
      </c>
      <c r="U7" s="112">
        <v>41.679750000000006</v>
      </c>
      <c r="V7" s="113">
        <v>40.707450000000001</v>
      </c>
      <c r="W7" s="114">
        <v>37.866149999999998</v>
      </c>
      <c r="X7" s="132">
        <v>17.966607142857143</v>
      </c>
      <c r="Y7" s="670"/>
      <c r="Z7" s="474">
        <v>40575</v>
      </c>
      <c r="AA7" s="112">
        <v>116.2</v>
      </c>
      <c r="AB7" s="113">
        <v>110.55</v>
      </c>
      <c r="AC7" s="114">
        <v>87.96</v>
      </c>
      <c r="AD7" s="132"/>
      <c r="AF7" s="475">
        <v>44228</v>
      </c>
      <c r="AG7" s="112">
        <v>75.677000000000007</v>
      </c>
      <c r="AH7" s="113"/>
      <c r="AI7" s="114">
        <v>56.784000000000006</v>
      </c>
      <c r="AJ7" s="132"/>
    </row>
    <row r="8" spans="1:36" ht="15" customHeight="1" x14ac:dyDescent="0.25">
      <c r="N8" s="470">
        <v>35855</v>
      </c>
      <c r="O8" s="112">
        <v>22.175864516129035</v>
      </c>
      <c r="P8" s="113">
        <v>20.789458064516133</v>
      </c>
      <c r="Q8" s="114">
        <v>15.250470967741936</v>
      </c>
      <c r="R8" s="132"/>
      <c r="T8" s="470">
        <v>36951</v>
      </c>
      <c r="U8" s="112">
        <v>38.152122580645162</v>
      </c>
      <c r="V8" s="113">
        <v>36.060522580645156</v>
      </c>
      <c r="W8" s="114">
        <v>34.259535483870962</v>
      </c>
      <c r="X8" s="132">
        <v>16.673225806451608</v>
      </c>
      <c r="Y8" s="670"/>
      <c r="Z8" s="474">
        <v>40603</v>
      </c>
      <c r="AA8" s="112">
        <v>126.19</v>
      </c>
      <c r="AB8" s="113">
        <v>120.44</v>
      </c>
      <c r="AC8" s="114">
        <v>97.43</v>
      </c>
      <c r="AD8" s="132"/>
      <c r="AF8" s="474">
        <v>44256</v>
      </c>
      <c r="AG8" s="112">
        <v>83.305599999999998</v>
      </c>
      <c r="AH8" s="113"/>
      <c r="AI8" s="114">
        <v>61.406800000000004</v>
      </c>
      <c r="AJ8" s="132"/>
    </row>
    <row r="9" spans="1:36" ht="15" customHeight="1" x14ac:dyDescent="0.25">
      <c r="N9" s="470">
        <v>35886</v>
      </c>
      <c r="O9" s="112">
        <v>21.976639999999996</v>
      </c>
      <c r="P9" s="113">
        <v>20.533800000000003</v>
      </c>
      <c r="Q9" s="114">
        <v>14.769440000000001</v>
      </c>
      <c r="R9" s="132"/>
      <c r="T9" s="470">
        <v>36982</v>
      </c>
      <c r="U9" s="112">
        <v>37.222639999999998</v>
      </c>
      <c r="V9" s="113">
        <v>35.346640000000001</v>
      </c>
      <c r="W9" s="114">
        <v>33.167960000000001</v>
      </c>
      <c r="X9" s="132">
        <v>13.677333333333333</v>
      </c>
      <c r="Y9" s="670"/>
      <c r="Z9" s="474">
        <v>40634</v>
      </c>
      <c r="AA9" s="112">
        <v>138.34</v>
      </c>
      <c r="AB9" s="113">
        <v>132.03</v>
      </c>
      <c r="AC9" s="114">
        <v>106.78</v>
      </c>
      <c r="AD9" s="132"/>
      <c r="AF9" s="474">
        <v>44287</v>
      </c>
      <c r="AG9" s="112">
        <v>82.303200000000004</v>
      </c>
      <c r="AH9" s="113"/>
      <c r="AI9" s="114">
        <v>61.1492</v>
      </c>
      <c r="AJ9" s="132"/>
    </row>
    <row r="10" spans="1:36" ht="15" customHeight="1" x14ac:dyDescent="0.25">
      <c r="N10" s="470">
        <v>35916</v>
      </c>
      <c r="O10" s="112">
        <v>22.582316129032257</v>
      </c>
      <c r="P10" s="113">
        <v>21.438561290322582</v>
      </c>
      <c r="Q10" s="114">
        <v>16.860425806451612</v>
      </c>
      <c r="R10" s="132"/>
      <c r="T10" s="470">
        <v>37012</v>
      </c>
      <c r="U10" s="112">
        <v>38.705980645161297</v>
      </c>
      <c r="V10" s="113">
        <v>36.632941935483871</v>
      </c>
      <c r="W10" s="114">
        <v>33.796316129032256</v>
      </c>
      <c r="X10" s="132">
        <v>15.166935483870969</v>
      </c>
      <c r="Y10" s="670"/>
      <c r="Z10" s="474">
        <v>40664</v>
      </c>
      <c r="AA10" s="112">
        <v>136.15</v>
      </c>
      <c r="AB10" s="113">
        <v>129.96</v>
      </c>
      <c r="AC10" s="114">
        <v>105.18</v>
      </c>
      <c r="AD10" s="132"/>
      <c r="AF10" s="474">
        <v>44317</v>
      </c>
      <c r="AG10" s="112">
        <v>85.950199999999995</v>
      </c>
      <c r="AH10" s="113"/>
      <c r="AI10" s="114">
        <v>63.460599999999999</v>
      </c>
      <c r="AJ10" s="132"/>
    </row>
    <row r="11" spans="1:36" ht="15" customHeight="1" x14ac:dyDescent="0.25">
      <c r="N11" s="470">
        <v>35947</v>
      </c>
      <c r="O11" s="112">
        <v>20.898499999999999</v>
      </c>
      <c r="P11" s="113">
        <v>19.863060000000001</v>
      </c>
      <c r="Q11" s="114">
        <v>15.72256</v>
      </c>
      <c r="R11" s="132"/>
      <c r="T11" s="470">
        <v>37043</v>
      </c>
      <c r="U11" s="112">
        <v>38.857980000000005</v>
      </c>
      <c r="V11" s="113">
        <v>37.068220000000004</v>
      </c>
      <c r="W11" s="114">
        <v>34.196820000000002</v>
      </c>
      <c r="X11" s="132">
        <v>15.487333333333334</v>
      </c>
      <c r="Y11" s="670"/>
      <c r="Z11" s="474">
        <v>40695</v>
      </c>
      <c r="AA11" s="112">
        <v>128.97</v>
      </c>
      <c r="AB11" s="113">
        <v>123.71</v>
      </c>
      <c r="AC11" s="114">
        <v>102.66</v>
      </c>
      <c r="AD11" s="132"/>
      <c r="AF11" s="474">
        <v>44348</v>
      </c>
      <c r="AG11" s="112">
        <v>91.267399999999995</v>
      </c>
      <c r="AH11" s="113"/>
      <c r="AI11" s="114">
        <v>64.671599999999998</v>
      </c>
      <c r="AJ11" s="132"/>
    </row>
    <row r="12" spans="1:36" ht="15" customHeight="1" x14ac:dyDescent="0.25">
      <c r="N12" s="470">
        <v>35977</v>
      </c>
      <c r="O12" s="112">
        <v>20.556154838709677</v>
      </c>
      <c r="P12" s="113">
        <v>19.653290322580649</v>
      </c>
      <c r="Q12" s="114">
        <v>16.041561290322583</v>
      </c>
      <c r="R12" s="132"/>
      <c r="T12" s="470">
        <v>37073</v>
      </c>
      <c r="U12" s="112">
        <v>36.474425806451606</v>
      </c>
      <c r="V12" s="113">
        <v>35.320238709677419</v>
      </c>
      <c r="W12" s="114">
        <v>32.822593548387097</v>
      </c>
      <c r="X12" s="132">
        <v>15.702903225806448</v>
      </c>
      <c r="Y12" s="670"/>
      <c r="Z12" s="474">
        <v>40725</v>
      </c>
      <c r="AA12" s="112">
        <v>130.22999999999999</v>
      </c>
      <c r="AB12" s="113">
        <v>125.03</v>
      </c>
      <c r="AC12" s="114">
        <v>104.24</v>
      </c>
      <c r="AD12" s="132"/>
      <c r="AF12" s="474">
        <v>44378</v>
      </c>
      <c r="AG12" s="112">
        <v>93.426199999999994</v>
      </c>
      <c r="AH12" s="113"/>
      <c r="AI12" s="114">
        <v>68.046999999999997</v>
      </c>
      <c r="AJ12" s="132"/>
    </row>
    <row r="13" spans="1:36" ht="15" customHeight="1" x14ac:dyDescent="0.25">
      <c r="N13" s="470">
        <v>36008</v>
      </c>
      <c r="O13" s="112">
        <v>19.517129032258065</v>
      </c>
      <c r="P13" s="113">
        <v>18.820606451612903</v>
      </c>
      <c r="Q13" s="114">
        <v>16.035735483870969</v>
      </c>
      <c r="R13" s="132"/>
      <c r="T13" s="470">
        <v>37104</v>
      </c>
      <c r="U13" s="112">
        <v>35.89292903225806</v>
      </c>
      <c r="V13" s="113">
        <v>34.495954838709672</v>
      </c>
      <c r="W13" s="114">
        <v>32.178503225806452</v>
      </c>
      <c r="X13" s="132">
        <v>17.186451612903223</v>
      </c>
      <c r="Y13" s="670"/>
      <c r="Z13" s="474">
        <v>40756</v>
      </c>
      <c r="AA13" s="112">
        <v>130.28</v>
      </c>
      <c r="AB13" s="113">
        <v>125.03</v>
      </c>
      <c r="AC13" s="114">
        <v>104.03</v>
      </c>
      <c r="AD13" s="132"/>
      <c r="AF13" s="474">
        <v>44409</v>
      </c>
      <c r="AG13" s="112">
        <v>91.910000000000011</v>
      </c>
      <c r="AH13" s="113"/>
      <c r="AI13" s="114">
        <v>66.227000000000004</v>
      </c>
      <c r="AJ13" s="132"/>
    </row>
    <row r="14" spans="1:36" ht="15" customHeight="1" x14ac:dyDescent="0.25">
      <c r="N14" s="470">
        <v>36039</v>
      </c>
      <c r="O14" s="112">
        <v>19.580399999999997</v>
      </c>
      <c r="P14" s="113">
        <v>18.694200000000002</v>
      </c>
      <c r="Q14" s="114">
        <v>15.15066</v>
      </c>
      <c r="R14" s="132"/>
      <c r="T14" s="470">
        <v>37135</v>
      </c>
      <c r="U14" s="112">
        <v>38.309600000000003</v>
      </c>
      <c r="V14" s="113">
        <v>36.638839999999995</v>
      </c>
      <c r="W14" s="114">
        <v>34.222580000000001</v>
      </c>
      <c r="X14" s="132">
        <v>18.968666666666664</v>
      </c>
      <c r="Y14" s="670"/>
      <c r="Z14" s="474">
        <v>40787</v>
      </c>
      <c r="AA14" s="112">
        <v>128.68</v>
      </c>
      <c r="AB14" s="113">
        <v>123.64</v>
      </c>
      <c r="AC14" s="114">
        <v>103.46</v>
      </c>
      <c r="AD14" s="132"/>
      <c r="AF14" s="474">
        <v>44440</v>
      </c>
      <c r="AG14" s="112">
        <v>93.206400000000016</v>
      </c>
      <c r="AH14" s="113"/>
      <c r="AI14" s="114">
        <v>68.058199999999999</v>
      </c>
      <c r="AJ14" s="132"/>
    </row>
    <row r="15" spans="1:36" ht="15" customHeight="1" x14ac:dyDescent="0.25">
      <c r="N15" s="470">
        <v>36069</v>
      </c>
      <c r="O15" s="112">
        <v>21.716845161290319</v>
      </c>
      <c r="P15" s="113">
        <v>20.46971612903226</v>
      </c>
      <c r="Q15" s="114">
        <v>15.476864516129032</v>
      </c>
      <c r="R15" s="132"/>
      <c r="T15" s="470">
        <v>37165</v>
      </c>
      <c r="U15" s="112">
        <v>33.470206451612903</v>
      </c>
      <c r="V15" s="113">
        <v>32.740625806451611</v>
      </c>
      <c r="W15" s="114">
        <v>31.049516129032259</v>
      </c>
      <c r="X15" s="132">
        <v>14.803225806451612</v>
      </c>
      <c r="Y15" s="670"/>
      <c r="Z15" s="474">
        <v>40817</v>
      </c>
      <c r="AA15" s="112">
        <v>126.1</v>
      </c>
      <c r="AB15" s="113">
        <v>121.43</v>
      </c>
      <c r="AC15" s="114">
        <v>102.78</v>
      </c>
      <c r="AD15" s="132"/>
      <c r="AF15" s="474">
        <v>44470</v>
      </c>
      <c r="AG15" s="112">
        <v>102.42400000000001</v>
      </c>
      <c r="AH15" s="113"/>
      <c r="AI15" s="114">
        <v>74.706800000000001</v>
      </c>
      <c r="AJ15" s="132"/>
    </row>
    <row r="16" spans="1:36" ht="15" customHeight="1" x14ac:dyDescent="0.25">
      <c r="N16" s="470">
        <v>36100</v>
      </c>
      <c r="O16" s="112">
        <v>20.46604</v>
      </c>
      <c r="P16" s="113">
        <v>19.436199999999999</v>
      </c>
      <c r="Q16" s="114">
        <v>15.315159999999999</v>
      </c>
      <c r="R16" s="132"/>
      <c r="T16" s="470">
        <v>37196</v>
      </c>
      <c r="U16" s="112">
        <v>30.249799999999997</v>
      </c>
      <c r="V16" s="113">
        <v>29.375920000000001</v>
      </c>
      <c r="W16" s="114">
        <v>27.923559999999998</v>
      </c>
      <c r="X16" s="132">
        <v>13.554666666666668</v>
      </c>
      <c r="Y16" s="670"/>
      <c r="Z16" s="474">
        <v>40848</v>
      </c>
      <c r="AA16" s="112">
        <v>131.43</v>
      </c>
      <c r="AB16" s="113">
        <v>126.42</v>
      </c>
      <c r="AC16" s="114">
        <v>106.38</v>
      </c>
      <c r="AD16" s="132"/>
      <c r="AF16" s="779">
        <v>44501</v>
      </c>
      <c r="AG16" s="112">
        <v>109.14399999999999</v>
      </c>
      <c r="AH16" s="113"/>
      <c r="AI16" s="114">
        <v>77.096599999999995</v>
      </c>
      <c r="AJ16" s="132"/>
    </row>
    <row r="17" spans="14:36" ht="15" customHeight="1" thickBot="1" x14ac:dyDescent="0.3">
      <c r="N17" s="471">
        <v>36130</v>
      </c>
      <c r="O17" s="115">
        <v>18.310780645161291</v>
      </c>
      <c r="P17" s="116">
        <v>17.495303225806452</v>
      </c>
      <c r="Q17" s="117">
        <v>14.235832258064516</v>
      </c>
      <c r="R17" s="133"/>
      <c r="T17" s="471">
        <v>37226</v>
      </c>
      <c r="U17" s="115">
        <v>26.92010322580645</v>
      </c>
      <c r="V17" s="116">
        <v>26.083219354838707</v>
      </c>
      <c r="W17" s="117">
        <v>24.900716129032258</v>
      </c>
      <c r="X17" s="133">
        <v>14.542096774193549</v>
      </c>
      <c r="Y17" s="671"/>
      <c r="Z17" s="470">
        <v>40878</v>
      </c>
      <c r="AA17" s="115">
        <v>127.08</v>
      </c>
      <c r="AB17" s="116">
        <v>121.98</v>
      </c>
      <c r="AC17" s="117">
        <v>101.58</v>
      </c>
      <c r="AD17" s="133"/>
      <c r="AF17" s="840">
        <v>44531</v>
      </c>
      <c r="AG17" s="115">
        <v>99.208199999999991</v>
      </c>
      <c r="AH17" s="116"/>
      <c r="AI17" s="117">
        <v>69.5548</v>
      </c>
      <c r="AJ17" s="133"/>
    </row>
    <row r="18" spans="14:36" ht="15" customHeight="1" thickBot="1" x14ac:dyDescent="0.3">
      <c r="N18" s="472" t="s">
        <v>149</v>
      </c>
      <c r="O18" s="119">
        <v>21.357184109589046</v>
      </c>
      <c r="P18" s="120">
        <v>20.260546849315066</v>
      </c>
      <c r="Q18" s="121">
        <v>15.874826301369861</v>
      </c>
      <c r="R18" s="134"/>
      <c r="T18" s="472" t="s">
        <v>75</v>
      </c>
      <c r="U18" s="119">
        <v>36.330460273972605</v>
      </c>
      <c r="V18" s="120">
        <v>34.94138794520547</v>
      </c>
      <c r="W18" s="121">
        <v>32.444355616438351</v>
      </c>
      <c r="X18" s="134">
        <v>15.755520547945212</v>
      </c>
      <c r="Y18" s="672"/>
      <c r="Z18" s="472" t="s">
        <v>234</v>
      </c>
      <c r="AA18" s="119">
        <v>127.49</v>
      </c>
      <c r="AB18" s="120">
        <v>122.08</v>
      </c>
      <c r="AC18" s="121">
        <v>100.43</v>
      </c>
      <c r="AD18" s="134"/>
      <c r="AF18" s="472" t="s">
        <v>234</v>
      </c>
      <c r="AG18" s="119">
        <v>89.739416666666656</v>
      </c>
      <c r="AH18" s="120">
        <v>0</v>
      </c>
      <c r="AI18" s="121">
        <v>65.344650000000016</v>
      </c>
      <c r="AJ18" s="134"/>
    </row>
    <row r="19" spans="14:36" ht="15" customHeight="1" thickBot="1" x14ac:dyDescent="0.3"/>
    <row r="20" spans="14:36" ht="15" customHeight="1" x14ac:dyDescent="0.25">
      <c r="N20" s="469">
        <v>36161</v>
      </c>
      <c r="O20" s="122">
        <v>18.124896774193545</v>
      </c>
      <c r="P20" s="123">
        <v>17.168516129032259</v>
      </c>
      <c r="Q20" s="124">
        <v>13.348954838709677</v>
      </c>
      <c r="R20" s="135">
        <v>7.715967741935482</v>
      </c>
      <c r="T20" s="469">
        <v>37257</v>
      </c>
      <c r="U20" s="122">
        <v>27.149883870967745</v>
      </c>
      <c r="V20" s="123">
        <v>26.069400000000002</v>
      </c>
      <c r="W20" s="124">
        <v>22.096470967741936</v>
      </c>
      <c r="X20" s="135">
        <v>14.367903225806451</v>
      </c>
      <c r="Y20" s="673"/>
      <c r="Z20" s="473">
        <v>40909</v>
      </c>
      <c r="AA20" s="122">
        <v>132.62269999999998</v>
      </c>
      <c r="AB20" s="123">
        <v>127.41540000000001</v>
      </c>
      <c r="AC20" s="124">
        <v>108.40900000000001</v>
      </c>
      <c r="AD20" s="135"/>
      <c r="AF20" s="311"/>
      <c r="AG20" s="310"/>
      <c r="AH20" s="311"/>
    </row>
    <row r="21" spans="14:36" ht="15" customHeight="1" x14ac:dyDescent="0.25">
      <c r="N21" s="470">
        <v>36192</v>
      </c>
      <c r="O21" s="112">
        <v>18.144300000000001</v>
      </c>
      <c r="P21" s="113">
        <v>17.3415</v>
      </c>
      <c r="Q21" s="114">
        <v>14.130899999999999</v>
      </c>
      <c r="R21" s="132">
        <v>7.4067857142857161</v>
      </c>
      <c r="T21" s="470">
        <v>37288</v>
      </c>
      <c r="U21" s="112">
        <v>26.424299999999999</v>
      </c>
      <c r="V21" s="113">
        <v>25.3155</v>
      </c>
      <c r="W21" s="114">
        <v>20.8797</v>
      </c>
      <c r="X21" s="132">
        <v>14.841428571428571</v>
      </c>
      <c r="Y21" s="673"/>
      <c r="Z21" s="474">
        <v>40940</v>
      </c>
      <c r="AA21" s="112">
        <v>137.64939999999999</v>
      </c>
      <c r="AB21" s="113">
        <v>132.47919999999999</v>
      </c>
      <c r="AC21" s="114">
        <v>114.01319999999998</v>
      </c>
      <c r="AD21" s="132"/>
      <c r="AF21" s="311"/>
      <c r="AG21" s="310"/>
      <c r="AH21" s="311"/>
    </row>
    <row r="22" spans="14:36" ht="15" customHeight="1" x14ac:dyDescent="0.25">
      <c r="N22" s="470">
        <v>36220</v>
      </c>
      <c r="O22" s="112">
        <v>18.11866451612903</v>
      </c>
      <c r="P22" s="113">
        <v>17.366322580645161</v>
      </c>
      <c r="Q22" s="114">
        <v>14.365354838709676</v>
      </c>
      <c r="R22" s="132">
        <v>9.6000000000000014</v>
      </c>
      <c r="T22" s="470">
        <v>37316</v>
      </c>
      <c r="U22" s="112">
        <v>28.24310322580645</v>
      </c>
      <c r="V22" s="113">
        <v>27.010335483870968</v>
      </c>
      <c r="W22" s="114">
        <v>22.088341935483868</v>
      </c>
      <c r="X22" s="132">
        <v>18.845161290322586</v>
      </c>
      <c r="Y22" s="673"/>
      <c r="Z22" s="474">
        <v>40969</v>
      </c>
      <c r="AA22" s="112">
        <v>140.63069999999999</v>
      </c>
      <c r="AB22" s="113">
        <v>135.26799999999997</v>
      </c>
      <c r="AC22" s="114">
        <v>116.58220000000001</v>
      </c>
      <c r="AD22" s="132"/>
      <c r="AF22" s="311"/>
      <c r="AG22" s="310"/>
      <c r="AH22" s="311"/>
    </row>
    <row r="23" spans="14:36" ht="15" customHeight="1" x14ac:dyDescent="0.25">
      <c r="N23" s="470">
        <v>36251</v>
      </c>
      <c r="O23" s="112">
        <v>21.483699999999999</v>
      </c>
      <c r="P23" s="113">
        <v>20.501879999999996</v>
      </c>
      <c r="Q23" s="114">
        <v>16.575300000000002</v>
      </c>
      <c r="R23" s="132">
        <v>11.981666666666667</v>
      </c>
      <c r="T23" s="470">
        <v>37347</v>
      </c>
      <c r="U23" s="112">
        <v>31.887240000000006</v>
      </c>
      <c r="V23" s="113">
        <v>30.81512</v>
      </c>
      <c r="W23" s="114">
        <v>26.520340000000004</v>
      </c>
      <c r="X23" s="132">
        <v>20.841666666666665</v>
      </c>
      <c r="Y23" s="673"/>
      <c r="Z23" s="474">
        <v>41000</v>
      </c>
      <c r="AA23" s="112">
        <v>140.43120000000002</v>
      </c>
      <c r="AB23" s="113">
        <v>135.10980000000001</v>
      </c>
      <c r="AC23" s="114">
        <v>116.70819999999999</v>
      </c>
      <c r="AD23" s="132"/>
      <c r="AF23" s="311"/>
      <c r="AG23" s="310"/>
      <c r="AH23" s="311"/>
    </row>
    <row r="24" spans="14:36" ht="15" customHeight="1" x14ac:dyDescent="0.25">
      <c r="N24" s="470">
        <v>36281</v>
      </c>
      <c r="O24" s="112">
        <v>22.410387096774194</v>
      </c>
      <c r="P24" s="113">
        <v>21.528387096774196</v>
      </c>
      <c r="Q24" s="114">
        <v>17.999709677419354</v>
      </c>
      <c r="R24" s="132">
        <v>12.014516129032252</v>
      </c>
      <c r="T24" s="470">
        <v>37377</v>
      </c>
      <c r="U24" s="112">
        <v>32.23743870967742</v>
      </c>
      <c r="V24" s="113">
        <v>31.350154838709674</v>
      </c>
      <c r="W24" s="114">
        <v>27.802374193548385</v>
      </c>
      <c r="X24" s="132">
        <v>21.385806451612904</v>
      </c>
      <c r="Y24" s="673"/>
      <c r="Z24" s="474">
        <v>41030</v>
      </c>
      <c r="AA24" s="112">
        <v>132.29650000000001</v>
      </c>
      <c r="AB24" s="113">
        <v>127.0038</v>
      </c>
      <c r="AC24" s="114">
        <v>107.7692</v>
      </c>
      <c r="AD24" s="132"/>
      <c r="AF24" s="311"/>
      <c r="AG24" s="310"/>
      <c r="AH24" s="311"/>
    </row>
    <row r="25" spans="14:36" ht="15" customHeight="1" x14ac:dyDescent="0.25">
      <c r="N25" s="470">
        <v>36312</v>
      </c>
      <c r="O25" s="112">
        <v>21.082599999999999</v>
      </c>
      <c r="P25" s="113">
        <v>20.503280000000004</v>
      </c>
      <c r="Q25" s="114">
        <v>18.180119999999999</v>
      </c>
      <c r="R25" s="132">
        <v>12.585333333333331</v>
      </c>
      <c r="T25" s="470">
        <v>37408</v>
      </c>
      <c r="U25" s="112">
        <v>32.271119999999996</v>
      </c>
      <c r="V25" s="113">
        <v>31.46724</v>
      </c>
      <c r="W25" s="114">
        <v>28.246960000000001</v>
      </c>
      <c r="X25" s="132">
        <v>20.970333333333333</v>
      </c>
      <c r="Y25" s="673"/>
      <c r="Z25" s="474">
        <v>41061</v>
      </c>
      <c r="AA25" s="112">
        <v>119.99960000000002</v>
      </c>
      <c r="AB25" s="113">
        <v>114.63760000000001</v>
      </c>
      <c r="AC25" s="114">
        <v>96.367599999999996</v>
      </c>
      <c r="AD25" s="132"/>
      <c r="AF25" s="311"/>
      <c r="AG25" s="310"/>
      <c r="AH25" s="311"/>
    </row>
    <row r="26" spans="14:36" ht="15" customHeight="1" x14ac:dyDescent="0.25">
      <c r="N26" s="470">
        <v>36342</v>
      </c>
      <c r="O26" s="112">
        <v>23.675129032258067</v>
      </c>
      <c r="P26" s="113">
        <v>22.737580645161295</v>
      </c>
      <c r="Q26" s="114">
        <v>18.983593548387098</v>
      </c>
      <c r="R26" s="132">
        <v>14.11629032258065</v>
      </c>
      <c r="T26" s="470">
        <v>37438</v>
      </c>
      <c r="U26" s="112">
        <v>32.323470967741933</v>
      </c>
      <c r="V26" s="113">
        <v>31.380909677419353</v>
      </c>
      <c r="W26" s="114">
        <v>27.607006451612904</v>
      </c>
      <c r="X26" s="132">
        <v>21.695000000000007</v>
      </c>
      <c r="Y26" s="673"/>
      <c r="Z26" s="474">
        <v>41091</v>
      </c>
      <c r="AA26" s="112">
        <v>120.54279999999999</v>
      </c>
      <c r="AB26" s="113">
        <v>113.90540000000001</v>
      </c>
      <c r="AC26" s="114">
        <v>94.317999999999998</v>
      </c>
      <c r="AD26" s="132"/>
      <c r="AF26" s="311"/>
      <c r="AG26" s="310"/>
      <c r="AH26" s="311"/>
    </row>
    <row r="27" spans="14:36" ht="15" customHeight="1" x14ac:dyDescent="0.25">
      <c r="N27" s="470">
        <v>36373</v>
      </c>
      <c r="O27" s="112">
        <v>26.123051612903229</v>
      </c>
      <c r="P27" s="113">
        <v>25.03132258064516</v>
      </c>
      <c r="Q27" s="114">
        <v>20.662238709677421</v>
      </c>
      <c r="R27" s="132">
        <v>17.005483870967741</v>
      </c>
      <c r="T27" s="470">
        <v>37469</v>
      </c>
      <c r="U27" s="112">
        <v>32.653509677419351</v>
      </c>
      <c r="V27" s="113">
        <v>31.726664516129034</v>
      </c>
      <c r="W27" s="114">
        <v>28.013187096774196</v>
      </c>
      <c r="X27" s="132">
        <v>22.4258064516129</v>
      </c>
      <c r="Y27" s="673"/>
      <c r="Z27" s="474">
        <v>41122</v>
      </c>
      <c r="AA27" s="112">
        <v>129.42824231644531</v>
      </c>
      <c r="AB27" s="113">
        <v>122.21957734772812</v>
      </c>
      <c r="AC27" s="114">
        <v>101.42960288077943</v>
      </c>
      <c r="AD27" s="132"/>
      <c r="AF27" s="311"/>
      <c r="AG27" s="310"/>
      <c r="AH27" s="311"/>
    </row>
    <row r="28" spans="14:36" ht="15" customHeight="1" x14ac:dyDescent="0.25">
      <c r="N28" s="470">
        <v>36404</v>
      </c>
      <c r="O28" s="112">
        <v>28.165760000000002</v>
      </c>
      <c r="P28" s="113">
        <v>27.216560000000001</v>
      </c>
      <c r="Q28" s="114">
        <v>23.420040000000004</v>
      </c>
      <c r="R28" s="132">
        <v>18.131666666666668</v>
      </c>
      <c r="T28" s="470">
        <v>37500</v>
      </c>
      <c r="U28" s="112">
        <v>35.2562</v>
      </c>
      <c r="V28" s="113">
        <v>34.042680000000004</v>
      </c>
      <c r="W28" s="114">
        <v>29.191399999999998</v>
      </c>
      <c r="X28" s="132">
        <v>24.50333333333333</v>
      </c>
      <c r="Y28" s="673"/>
      <c r="Z28" s="474">
        <v>41153</v>
      </c>
      <c r="AA28" s="112">
        <v>138.07192584252149</v>
      </c>
      <c r="AB28" s="113">
        <v>130.36348560113933</v>
      </c>
      <c r="AC28" s="114">
        <v>107.02062627817071</v>
      </c>
      <c r="AD28" s="132"/>
      <c r="AF28" s="311"/>
      <c r="AG28" s="310"/>
      <c r="AH28" s="311"/>
    </row>
    <row r="29" spans="14:36" ht="15" customHeight="1" x14ac:dyDescent="0.25">
      <c r="N29" s="470">
        <v>36434</v>
      </c>
      <c r="O29" s="112">
        <v>29.26858064516129</v>
      </c>
      <c r="P29" s="113">
        <v>28.213567741935485</v>
      </c>
      <c r="Q29" s="114">
        <v>24.000290322580646</v>
      </c>
      <c r="R29" s="132">
        <v>17.946774193548396</v>
      </c>
      <c r="T29" s="470">
        <v>37530</v>
      </c>
      <c r="U29" s="112">
        <v>37.583767741935482</v>
      </c>
      <c r="V29" s="113">
        <v>36.368883870967743</v>
      </c>
      <c r="W29" s="114">
        <v>31.51734193548387</v>
      </c>
      <c r="X29" s="132">
        <v>22.336290322580652</v>
      </c>
      <c r="Y29" s="673"/>
      <c r="Z29" s="474">
        <v>41183</v>
      </c>
      <c r="AA29" s="112">
        <v>139.13737333409986</v>
      </c>
      <c r="AB29" s="113">
        <v>121.89626099035193</v>
      </c>
      <c r="AC29" s="114">
        <v>114.85407305192933</v>
      </c>
      <c r="AD29" s="132"/>
      <c r="AF29" s="311"/>
      <c r="AG29" s="310"/>
      <c r="AH29" s="311"/>
    </row>
    <row r="30" spans="14:36" ht="15" customHeight="1" x14ac:dyDescent="0.25">
      <c r="N30" s="470">
        <v>36465</v>
      </c>
      <c r="O30" s="112">
        <v>29.531319999999997</v>
      </c>
      <c r="P30" s="113">
        <v>28.325499999999998</v>
      </c>
      <c r="Q30" s="114">
        <v>23.499279999999999</v>
      </c>
      <c r="R30" s="132">
        <v>18.370416666666664</v>
      </c>
      <c r="T30" s="470">
        <v>37561</v>
      </c>
      <c r="U30" s="112">
        <v>35.935479999999998</v>
      </c>
      <c r="V30" s="113">
        <v>34.582380000000001</v>
      </c>
      <c r="W30" s="114">
        <v>29.164240000000003</v>
      </c>
      <c r="X30" s="132">
        <v>17.901333333333334</v>
      </c>
      <c r="Y30" s="673"/>
      <c r="Z30" s="474">
        <v>41214</v>
      </c>
      <c r="AA30" s="112">
        <v>132.47754720397157</v>
      </c>
      <c r="AB30" s="113">
        <v>125.2148673094101</v>
      </c>
      <c r="AC30" s="114">
        <v>99.973203671028102</v>
      </c>
      <c r="AD30" s="132"/>
      <c r="AF30" s="311"/>
      <c r="AG30" s="310"/>
      <c r="AH30" s="311"/>
    </row>
    <row r="31" spans="14:36" ht="15" customHeight="1" thickBot="1" x14ac:dyDescent="0.3">
      <c r="N31" s="471">
        <v>36495</v>
      </c>
      <c r="O31" s="115">
        <v>32.227548387096775</v>
      </c>
      <c r="P31" s="116">
        <v>30.668129032258065</v>
      </c>
      <c r="Q31" s="117">
        <v>24.432212903225807</v>
      </c>
      <c r="R31" s="133">
        <v>17.657903225806447</v>
      </c>
      <c r="T31" s="471">
        <v>37591</v>
      </c>
      <c r="U31" s="115">
        <v>36.032477419354834</v>
      </c>
      <c r="V31" s="116">
        <v>34.147083870967741</v>
      </c>
      <c r="W31" s="117">
        <v>26.611741935483874</v>
      </c>
      <c r="X31" s="133">
        <v>21.805322580645157</v>
      </c>
      <c r="Y31" s="673"/>
      <c r="Z31" s="476">
        <v>41244</v>
      </c>
      <c r="AA31" s="115">
        <v>131.00187846266672</v>
      </c>
      <c r="AB31" s="116">
        <v>124.26689854609319</v>
      </c>
      <c r="AC31" s="117">
        <v>99.800214436914601</v>
      </c>
      <c r="AD31" s="133"/>
      <c r="AF31" s="311"/>
      <c r="AG31" s="310"/>
      <c r="AH31" s="311"/>
    </row>
    <row r="32" spans="14:36" ht="15" customHeight="1" thickBot="1" x14ac:dyDescent="0.3">
      <c r="N32" s="472" t="s">
        <v>73</v>
      </c>
      <c r="O32" s="119">
        <v>24.066678904109597</v>
      </c>
      <c r="P32" s="120">
        <v>23.08522520547945</v>
      </c>
      <c r="Q32" s="121">
        <v>19.160192876712326</v>
      </c>
      <c r="R32" s="134">
        <v>13.745828767123285</v>
      </c>
      <c r="T32" s="472" t="s">
        <v>150</v>
      </c>
      <c r="U32" s="119">
        <v>32.365246027397255</v>
      </c>
      <c r="V32" s="120">
        <v>31.221131506849325</v>
      </c>
      <c r="W32" s="121">
        <v>26.674384109589042</v>
      </c>
      <c r="X32" s="134">
        <v>20.19386301369865</v>
      </c>
      <c r="Y32" s="673"/>
      <c r="Z32" s="472" t="s">
        <v>247</v>
      </c>
      <c r="AA32" s="119">
        <v>132.86000000000001</v>
      </c>
      <c r="AB32" s="120">
        <v>125.82</v>
      </c>
      <c r="AC32" s="121">
        <v>106.44</v>
      </c>
      <c r="AD32" s="134"/>
      <c r="AG32" s="310"/>
      <c r="AH32" s="311"/>
    </row>
    <row r="33" spans="14:34" ht="15" customHeight="1" thickBot="1" x14ac:dyDescent="0.3">
      <c r="N33" s="111"/>
      <c r="O33" s="118"/>
      <c r="P33" s="118"/>
      <c r="Q33" s="118"/>
      <c r="R33" s="118"/>
      <c r="AF33" s="311"/>
      <c r="AG33" s="310"/>
      <c r="AH33" s="311"/>
    </row>
    <row r="34" spans="14:34" ht="15" customHeight="1" x14ac:dyDescent="0.25">
      <c r="N34" s="469">
        <v>36526</v>
      </c>
      <c r="O34" s="122">
        <v>33.346103225806452</v>
      </c>
      <c r="P34" s="123">
        <v>31.519645161290324</v>
      </c>
      <c r="Q34" s="124">
        <v>24.215167741935485</v>
      </c>
      <c r="R34" s="135">
        <v>18.715403225806451</v>
      </c>
      <c r="T34" s="473">
        <v>37622</v>
      </c>
      <c r="U34" s="122">
        <v>40.205651612903218</v>
      </c>
      <c r="V34" s="123">
        <v>38.405206451612905</v>
      </c>
      <c r="W34" s="124">
        <v>31.204780645161289</v>
      </c>
      <c r="X34" s="135">
        <v>28.963709677419359</v>
      </c>
      <c r="Y34" s="673"/>
      <c r="Z34" s="473">
        <v>41275</v>
      </c>
      <c r="AA34" s="122">
        <v>132.94243966276426</v>
      </c>
      <c r="AB34" s="123">
        <v>125.74466276765222</v>
      </c>
      <c r="AC34" s="124">
        <v>101.65823291811952</v>
      </c>
      <c r="AD34" s="135"/>
      <c r="AF34" s="311"/>
      <c r="AG34" s="310">
        <f>+AG32/12</f>
        <v>0</v>
      </c>
      <c r="AH34" s="311">
        <f>+AH32/12</f>
        <v>0</v>
      </c>
    </row>
    <row r="35" spans="14:34" ht="15" customHeight="1" x14ac:dyDescent="0.25">
      <c r="N35" s="470">
        <v>36557</v>
      </c>
      <c r="O35" s="112">
        <v>37.288758620689656</v>
      </c>
      <c r="P35" s="113">
        <v>35.026986206896545</v>
      </c>
      <c r="Q35" s="114">
        <v>25.978448275862068</v>
      </c>
      <c r="R35" s="132">
        <v>19.864482758620689</v>
      </c>
      <c r="T35" s="474">
        <v>37653</v>
      </c>
      <c r="U35" s="112">
        <v>44.358750000000001</v>
      </c>
      <c r="V35" s="113">
        <v>41.978850000000001</v>
      </c>
      <c r="W35" s="114">
        <v>32.456400000000002</v>
      </c>
      <c r="X35" s="132">
        <v>26.883928571428573</v>
      </c>
      <c r="Y35" s="673"/>
      <c r="Z35" s="474">
        <v>41306</v>
      </c>
      <c r="AA35" s="112">
        <v>138.47768627145609</v>
      </c>
      <c r="AB35" s="113">
        <v>130.31480315484583</v>
      </c>
      <c r="AC35" s="114">
        <v>104.61470913151942</v>
      </c>
      <c r="AD35" s="132"/>
      <c r="AF35" s="311"/>
      <c r="AG35" s="310"/>
    </row>
    <row r="36" spans="14:34" ht="15" customHeight="1" x14ac:dyDescent="0.25">
      <c r="N36" s="470">
        <v>36586</v>
      </c>
      <c r="O36" s="112">
        <v>36.807309677419362</v>
      </c>
      <c r="P36" s="113">
        <v>34.823961290322586</v>
      </c>
      <c r="Q36" s="114">
        <v>26.884335483870966</v>
      </c>
      <c r="R36" s="132">
        <v>20.346774193548388</v>
      </c>
      <c r="T36" s="474">
        <v>37681</v>
      </c>
      <c r="U36" s="112">
        <v>48.309348387096769</v>
      </c>
      <c r="V36" s="113">
        <v>44.554141935483869</v>
      </c>
      <c r="W36" s="114">
        <v>29.532909677419351</v>
      </c>
      <c r="X36" s="132">
        <v>22.33467741935484</v>
      </c>
      <c r="Y36" s="673"/>
      <c r="Z36" s="474">
        <v>41334</v>
      </c>
      <c r="AA36" s="112">
        <v>138.04363997092472</v>
      </c>
      <c r="AB36" s="113">
        <v>128.72623374450248</v>
      </c>
      <c r="AC36" s="114">
        <v>103.91436482423572</v>
      </c>
      <c r="AD36" s="132"/>
      <c r="AF36" s="311"/>
      <c r="AG36" s="310"/>
    </row>
    <row r="37" spans="14:34" ht="15" customHeight="1" x14ac:dyDescent="0.25">
      <c r="N37" s="470">
        <v>36617</v>
      </c>
      <c r="O37" s="112">
        <v>34.07152</v>
      </c>
      <c r="P37" s="113">
        <v>32.407619999999994</v>
      </c>
      <c r="Q37" s="114">
        <v>25.749780000000001</v>
      </c>
      <c r="R37" s="132">
        <v>17.583000000000002</v>
      </c>
      <c r="T37" s="474">
        <v>37712</v>
      </c>
      <c r="U37" s="112">
        <v>36.228360000000002</v>
      </c>
      <c r="V37" s="113">
        <v>33.86544</v>
      </c>
      <c r="W37" s="114">
        <v>24.410959999999996</v>
      </c>
      <c r="X37" s="132">
        <v>19.226666666666667</v>
      </c>
      <c r="Y37" s="673"/>
      <c r="Z37" s="474">
        <v>41365</v>
      </c>
      <c r="AA37" s="112">
        <v>131.86827100411804</v>
      </c>
      <c r="AB37" s="113">
        <v>121.59584129268913</v>
      </c>
      <c r="AC37" s="114">
        <v>100.9811803076669</v>
      </c>
      <c r="AD37" s="132"/>
      <c r="AF37" s="311"/>
      <c r="AG37" s="311"/>
    </row>
    <row r="38" spans="14:34" ht="15" customHeight="1" x14ac:dyDescent="0.25">
      <c r="N38" s="470">
        <v>36647</v>
      </c>
      <c r="O38" s="112">
        <v>35.451387096774191</v>
      </c>
      <c r="P38" s="113">
        <v>33.45733548387097</v>
      </c>
      <c r="Q38" s="114">
        <v>25.489529032258066</v>
      </c>
      <c r="R38" s="132">
        <v>19.760322580645159</v>
      </c>
      <c r="T38" s="474">
        <v>37742</v>
      </c>
      <c r="U38" s="112">
        <v>33.948464516129036</v>
      </c>
      <c r="V38" s="113">
        <v>32.140838709677411</v>
      </c>
      <c r="W38" s="114">
        <v>24.906541935483872</v>
      </c>
      <c r="X38" s="132">
        <v>20.481451612903228</v>
      </c>
      <c r="Y38" s="673"/>
      <c r="Z38" s="474">
        <v>41395</v>
      </c>
      <c r="AA38" s="112">
        <v>125.43126045447006</v>
      </c>
      <c r="AB38" s="113">
        <v>115.56290536366851</v>
      </c>
      <c r="AC38" s="114">
        <v>97.197897428558292</v>
      </c>
      <c r="AD38" s="132"/>
      <c r="AF38" s="311"/>
      <c r="AG38" s="311"/>
    </row>
    <row r="39" spans="14:34" ht="15" customHeight="1" x14ac:dyDescent="0.25">
      <c r="N39" s="470">
        <v>36678</v>
      </c>
      <c r="O39" s="112">
        <v>36.783880000000003</v>
      </c>
      <c r="P39" s="113">
        <v>34.946239999999996</v>
      </c>
      <c r="Q39" s="114">
        <v>27.602120000000003</v>
      </c>
      <c r="R39" s="132">
        <v>21.037333333333333</v>
      </c>
      <c r="T39" s="474">
        <v>37773</v>
      </c>
      <c r="U39" s="112">
        <v>34.694519999999997</v>
      </c>
      <c r="V39" s="113">
        <v>32.7166</v>
      </c>
      <c r="W39" s="114">
        <v>24.805619999999998</v>
      </c>
      <c r="X39" s="132">
        <v>22.316666666666666</v>
      </c>
      <c r="Y39" s="673"/>
      <c r="Z39" s="474">
        <v>41426</v>
      </c>
      <c r="AA39" s="112">
        <v>124.64900000000002</v>
      </c>
      <c r="AB39" s="113">
        <v>117.17860000000002</v>
      </c>
      <c r="AC39" s="114">
        <v>96.913600000000002</v>
      </c>
      <c r="AD39" s="132"/>
      <c r="AF39" s="311"/>
      <c r="AG39" s="311"/>
    </row>
    <row r="40" spans="14:34" ht="15" customHeight="1" x14ac:dyDescent="0.25">
      <c r="N40" s="470">
        <v>36708</v>
      </c>
      <c r="O40" s="112">
        <v>38.293432258064513</v>
      </c>
      <c r="P40" s="113">
        <v>36.380806451612898</v>
      </c>
      <c r="Q40" s="114">
        <v>28.732335483870969</v>
      </c>
      <c r="R40" s="132">
        <v>19.205000000000002</v>
      </c>
      <c r="T40" s="474">
        <v>37803</v>
      </c>
      <c r="U40" s="112">
        <v>35.405458064516132</v>
      </c>
      <c r="V40" s="113">
        <v>33.940064516129034</v>
      </c>
      <c r="W40" s="114">
        <v>28.084587096774193</v>
      </c>
      <c r="X40" s="132">
        <v>25.594354838709684</v>
      </c>
      <c r="Y40" s="673"/>
      <c r="Z40" s="474">
        <v>41456</v>
      </c>
      <c r="AA40" s="112">
        <v>127.4084</v>
      </c>
      <c r="AB40" s="113">
        <v>118.48480000000001</v>
      </c>
      <c r="AC40" s="114">
        <v>97.381200000000007</v>
      </c>
      <c r="AD40" s="132"/>
      <c r="AF40" s="311"/>
      <c r="AG40" s="311"/>
    </row>
    <row r="41" spans="14:34" ht="15" customHeight="1" x14ac:dyDescent="0.25">
      <c r="N41" s="470">
        <v>36739</v>
      </c>
      <c r="O41" s="112">
        <v>38.280696774193544</v>
      </c>
      <c r="P41" s="113">
        <v>36.077051612903226</v>
      </c>
      <c r="Q41" s="114">
        <v>27.2626064516129</v>
      </c>
      <c r="R41" s="132">
        <v>18.207419354838709</v>
      </c>
      <c r="T41" s="474">
        <v>37834</v>
      </c>
      <c r="U41" s="112">
        <v>37.108083870967747</v>
      </c>
      <c r="V41" s="113">
        <v>35.690787096774194</v>
      </c>
      <c r="W41" s="114">
        <v>30.025122580645164</v>
      </c>
      <c r="X41" s="132">
        <v>26.008870967741938</v>
      </c>
      <c r="Y41" s="673"/>
      <c r="Z41" s="474">
        <v>41487</v>
      </c>
      <c r="AA41" s="112">
        <v>130.95152719548253</v>
      </c>
      <c r="AB41" s="113"/>
      <c r="AC41" s="114">
        <v>98.720555531455958</v>
      </c>
      <c r="AD41" s="132"/>
      <c r="AF41" s="311"/>
      <c r="AG41" s="311"/>
    </row>
    <row r="42" spans="14:34" ht="15" customHeight="1" x14ac:dyDescent="0.25">
      <c r="N42" s="470">
        <v>36770</v>
      </c>
      <c r="O42" s="112">
        <v>45.068799999999996</v>
      </c>
      <c r="P42" s="113">
        <v>41.679400000000001</v>
      </c>
      <c r="Q42" s="114">
        <v>28.126279999999998</v>
      </c>
      <c r="R42" s="132">
        <v>21.334</v>
      </c>
      <c r="T42" s="474">
        <v>37865</v>
      </c>
      <c r="U42" s="112">
        <v>36.337139999999998</v>
      </c>
      <c r="V42" s="113">
        <v>34.794620000000002</v>
      </c>
      <c r="W42" s="114">
        <v>28.619919999999997</v>
      </c>
      <c r="X42" s="132">
        <v>22.438333333333325</v>
      </c>
      <c r="Y42" s="673"/>
      <c r="Z42" s="474">
        <v>41518</v>
      </c>
      <c r="AA42" s="112">
        <v>133.50119999999998</v>
      </c>
      <c r="AB42" s="113"/>
      <c r="AC42" s="114">
        <v>100.49759999999999</v>
      </c>
      <c r="AD42" s="132"/>
      <c r="AF42" s="311"/>
      <c r="AG42" s="311"/>
    </row>
    <row r="43" spans="14:34" ht="15" customHeight="1" x14ac:dyDescent="0.25">
      <c r="N43" s="470">
        <v>36800</v>
      </c>
      <c r="O43" s="112">
        <v>44.963167741935486</v>
      </c>
      <c r="P43" s="113">
        <v>41.93090322580646</v>
      </c>
      <c r="Q43" s="114">
        <v>29.802116129032257</v>
      </c>
      <c r="R43" s="132">
        <v>20.819677419354839</v>
      </c>
      <c r="T43" s="474">
        <v>37895</v>
      </c>
      <c r="U43" s="112">
        <v>36.021638709677426</v>
      </c>
      <c r="V43" s="113">
        <v>34.351529032258064</v>
      </c>
      <c r="W43" s="114">
        <v>27.67312258064516</v>
      </c>
      <c r="X43" s="132">
        <v>24.572580645161299</v>
      </c>
      <c r="Y43" s="673"/>
      <c r="Z43" s="474">
        <v>41548</v>
      </c>
      <c r="AA43" s="112">
        <v>130.49782298935878</v>
      </c>
      <c r="AB43" s="113"/>
      <c r="AC43" s="114">
        <v>99.733017183509489</v>
      </c>
      <c r="AD43" s="132"/>
      <c r="AF43" s="311"/>
      <c r="AG43" s="311"/>
    </row>
    <row r="44" spans="14:34" ht="15" customHeight="1" x14ac:dyDescent="0.25">
      <c r="N44" s="470">
        <v>36831</v>
      </c>
      <c r="O44" s="112">
        <v>44.640399999999993</v>
      </c>
      <c r="P44" s="113">
        <v>41.489840000000001</v>
      </c>
      <c r="Q44" s="114">
        <v>28.89348</v>
      </c>
      <c r="R44" s="132">
        <v>19.394916666666667</v>
      </c>
      <c r="T44" s="475">
        <v>37926</v>
      </c>
      <c r="U44" s="112">
        <v>37.696119999999993</v>
      </c>
      <c r="V44" s="113">
        <v>35.84028</v>
      </c>
      <c r="W44" s="114">
        <v>28.421960000000002</v>
      </c>
      <c r="X44" s="132">
        <v>23.88750000000001</v>
      </c>
      <c r="Y44" s="673"/>
      <c r="Z44" s="474">
        <v>41579</v>
      </c>
      <c r="AA44" s="112">
        <v>127.07749731914505</v>
      </c>
      <c r="AB44" s="113"/>
      <c r="AC44" s="114">
        <v>96.699156244679315</v>
      </c>
      <c r="AD44" s="132"/>
      <c r="AF44" s="311"/>
      <c r="AG44" s="311"/>
    </row>
    <row r="45" spans="14:34" ht="15" customHeight="1" thickBot="1" x14ac:dyDescent="0.3">
      <c r="N45" s="471">
        <v>36861</v>
      </c>
      <c r="O45" s="115">
        <v>45.083206451612895</v>
      </c>
      <c r="P45" s="116">
        <v>41.46917419354839</v>
      </c>
      <c r="Q45" s="117">
        <v>27.006812903225804</v>
      </c>
      <c r="R45" s="133">
        <v>15.140483870967742</v>
      </c>
      <c r="T45" s="476">
        <v>37956</v>
      </c>
      <c r="U45" s="115">
        <v>39.683767741935483</v>
      </c>
      <c r="V45" s="116">
        <v>37.335154838709677</v>
      </c>
      <c r="W45" s="117">
        <v>27.939348387096771</v>
      </c>
      <c r="X45" s="133">
        <v>22.288709677419355</v>
      </c>
      <c r="Y45" s="673"/>
      <c r="Z45" s="476">
        <v>41609</v>
      </c>
      <c r="AA45" s="115">
        <v>129.51119999999997</v>
      </c>
      <c r="AB45" s="116"/>
      <c r="AC45" s="117">
        <v>97.093500000000006</v>
      </c>
      <c r="AD45" s="133"/>
      <c r="AG45" s="311"/>
    </row>
    <row r="46" spans="14:34" ht="15" customHeight="1" thickBot="1" x14ac:dyDescent="0.3">
      <c r="N46" s="472" t="s">
        <v>74</v>
      </c>
      <c r="O46" s="119">
        <v>39.172940983606551</v>
      </c>
      <c r="P46" s="120">
        <v>36.767488524590163</v>
      </c>
      <c r="Q46" s="121">
        <v>27.146734426229511</v>
      </c>
      <c r="R46" s="134">
        <v>19.274849726775951</v>
      </c>
      <c r="T46" s="472" t="s">
        <v>178</v>
      </c>
      <c r="U46" s="119">
        <v>38.306531506849311</v>
      </c>
      <c r="V46" s="263">
        <v>36.276343561643827</v>
      </c>
      <c r="W46" s="121">
        <v>28.155867945205479</v>
      </c>
      <c r="X46" s="262">
        <v>23.74356164383563</v>
      </c>
      <c r="Y46" s="673"/>
      <c r="Z46" s="472" t="s">
        <v>253</v>
      </c>
      <c r="AA46" s="119">
        <v>130.86000000000001</v>
      </c>
      <c r="AB46" s="120">
        <f>SUM(AB34:AB45)/7</f>
        <v>122.51540661762257</v>
      </c>
      <c r="AC46" s="121">
        <v>99.62</v>
      </c>
      <c r="AD46" s="134"/>
    </row>
    <row r="47" spans="14:34" ht="15" customHeight="1" thickBot="1" x14ac:dyDescent="0.3">
      <c r="AB47" s="311"/>
    </row>
    <row r="48" spans="14:34" ht="15" customHeight="1" x14ac:dyDescent="0.25">
      <c r="N48" s="520"/>
      <c r="O48" s="521"/>
      <c r="P48" s="522"/>
      <c r="Q48" s="522"/>
      <c r="R48" s="523"/>
      <c r="T48" s="473">
        <v>37987</v>
      </c>
      <c r="U48" s="122">
        <v>42.587458064516127</v>
      </c>
      <c r="V48" s="123">
        <v>39.51183870967742</v>
      </c>
      <c r="W48" s="124">
        <v>27.20881935483871</v>
      </c>
      <c r="X48" s="135">
        <v>22.470967741935485</v>
      </c>
      <c r="Y48" s="673"/>
      <c r="Z48" s="473">
        <v>41640</v>
      </c>
      <c r="AA48" s="697">
        <v>128.6019</v>
      </c>
      <c r="AB48" s="123"/>
      <c r="AC48" s="698">
        <v>95.337899999999991</v>
      </c>
      <c r="AD48" s="135"/>
    </row>
    <row r="49" spans="14:35" ht="15" customHeight="1" x14ac:dyDescent="0.25">
      <c r="N49" s="524"/>
      <c r="O49" s="525"/>
      <c r="P49" s="526"/>
      <c r="Q49" s="526"/>
      <c r="R49" s="527"/>
      <c r="T49" s="474">
        <v>38018</v>
      </c>
      <c r="U49" s="112">
        <v>43.525468965517241</v>
      </c>
      <c r="V49" s="113">
        <v>40.322751724137937</v>
      </c>
      <c r="W49" s="114">
        <v>27.520862068965521</v>
      </c>
      <c r="X49" s="132">
        <v>21.988793103448288</v>
      </c>
      <c r="Y49" s="673"/>
      <c r="Z49" s="475">
        <v>41671</v>
      </c>
      <c r="AA49" s="699">
        <v>128.82659999999998</v>
      </c>
      <c r="AB49" s="113"/>
      <c r="AC49" s="700">
        <v>94.793999999999983</v>
      </c>
      <c r="AD49" s="132"/>
    </row>
    <row r="50" spans="14:35" ht="15" customHeight="1" x14ac:dyDescent="0.25">
      <c r="N50" s="524"/>
      <c r="O50" s="525"/>
      <c r="P50" s="526"/>
      <c r="Q50" s="526"/>
      <c r="R50" s="527"/>
      <c r="T50" s="474">
        <v>38047</v>
      </c>
      <c r="U50" s="112">
        <v>42.500612903225807</v>
      </c>
      <c r="V50" s="113">
        <v>39.563593548387097</v>
      </c>
      <c r="W50" s="114">
        <v>27.819038709677422</v>
      </c>
      <c r="X50" s="132">
        <v>23.391129032258061</v>
      </c>
      <c r="Y50" s="673"/>
      <c r="Z50" s="474">
        <v>41699</v>
      </c>
      <c r="AA50" s="699">
        <v>130.27559999999997</v>
      </c>
      <c r="AB50" s="113"/>
      <c r="AC50" s="700">
        <v>96.191200000000023</v>
      </c>
      <c r="AD50" s="132"/>
    </row>
    <row r="51" spans="14:35" ht="15" customHeight="1" x14ac:dyDescent="0.25">
      <c r="N51" s="524"/>
      <c r="O51" s="525"/>
      <c r="P51" s="526"/>
      <c r="Q51" s="526"/>
      <c r="R51" s="527"/>
      <c r="T51" s="474">
        <v>38078</v>
      </c>
      <c r="U51" s="112">
        <v>41.546679999999995</v>
      </c>
      <c r="V51" s="113">
        <v>38.965640000000008</v>
      </c>
      <c r="W51" s="114">
        <v>28.637279999999997</v>
      </c>
      <c r="X51" s="132">
        <v>24.78916666666667</v>
      </c>
      <c r="Y51" s="673"/>
      <c r="Z51" s="474">
        <v>41730</v>
      </c>
      <c r="AA51" s="699">
        <v>126.98279999999998</v>
      </c>
      <c r="AB51" s="113"/>
      <c r="AC51" s="700">
        <v>95.195099999999996</v>
      </c>
      <c r="AD51" s="132"/>
    </row>
    <row r="52" spans="14:35" ht="15" customHeight="1" x14ac:dyDescent="0.25">
      <c r="N52" s="524"/>
      <c r="O52" s="525"/>
      <c r="P52" s="526"/>
      <c r="Q52" s="526"/>
      <c r="R52" s="527"/>
      <c r="T52" s="474">
        <v>38108</v>
      </c>
      <c r="U52" s="112">
        <v>43.803425806451614</v>
      </c>
      <c r="V52" s="113">
        <v>41.357670967741939</v>
      </c>
      <c r="W52" s="114">
        <v>30.121993548387099</v>
      </c>
      <c r="X52" s="132">
        <v>27.174193548387095</v>
      </c>
      <c r="Y52" s="673"/>
      <c r="Z52" s="474">
        <v>41760</v>
      </c>
      <c r="AA52" s="699">
        <v>128.7636</v>
      </c>
      <c r="AB52" s="113"/>
      <c r="AC52" s="700">
        <v>97.633200000000016</v>
      </c>
      <c r="AD52" s="132"/>
    </row>
    <row r="53" spans="14:35" ht="15" customHeight="1" x14ac:dyDescent="0.25">
      <c r="N53" s="524"/>
      <c r="O53" s="525"/>
      <c r="P53" s="526"/>
      <c r="Q53" s="526"/>
      <c r="R53" s="527"/>
      <c r="T53" s="474">
        <v>38139</v>
      </c>
      <c r="U53" s="112">
        <v>46.351200000000006</v>
      </c>
      <c r="V53" s="113">
        <v>43.020740000000004</v>
      </c>
      <c r="W53" s="114">
        <v>31.457999999999998</v>
      </c>
      <c r="X53" s="132">
        <v>25.075833333333339</v>
      </c>
      <c r="Y53" s="673"/>
      <c r="Z53" s="474">
        <v>41791</v>
      </c>
      <c r="AA53" s="699">
        <v>127.89560000000002</v>
      </c>
      <c r="AB53" s="113"/>
      <c r="AC53" s="700">
        <v>98.287000000000006</v>
      </c>
      <c r="AD53" s="132"/>
    </row>
    <row r="54" spans="14:35" ht="15" customHeight="1" x14ac:dyDescent="0.25">
      <c r="N54" s="524"/>
      <c r="O54" s="525"/>
      <c r="P54" s="526"/>
      <c r="Q54" s="526"/>
      <c r="R54" s="527"/>
      <c r="T54" s="474">
        <v>38169</v>
      </c>
      <c r="U54" s="112">
        <v>47.326819354838712</v>
      </c>
      <c r="V54" s="113">
        <v>43.532051612903224</v>
      </c>
      <c r="W54" s="114">
        <v>29.106948387096772</v>
      </c>
      <c r="X54" s="132">
        <v>24.93870967741935</v>
      </c>
      <c r="Y54" s="673"/>
      <c r="Z54" s="474">
        <v>41821</v>
      </c>
      <c r="AA54" s="699">
        <v>127.827</v>
      </c>
      <c r="AB54" s="113"/>
      <c r="AC54" s="700">
        <v>97.881000000000014</v>
      </c>
      <c r="AD54" s="132"/>
    </row>
    <row r="55" spans="14:35" ht="15" customHeight="1" x14ac:dyDescent="0.25">
      <c r="N55" s="524"/>
      <c r="O55" s="525"/>
      <c r="P55" s="526"/>
      <c r="Q55" s="526"/>
      <c r="R55" s="527"/>
      <c r="T55" s="474">
        <v>38200</v>
      </c>
      <c r="U55" s="112">
        <v>51.559741935483864</v>
      </c>
      <c r="V55" s="113">
        <v>47.201225806451617</v>
      </c>
      <c r="W55" s="114">
        <v>29.76729677419355</v>
      </c>
      <c r="X55" s="132">
        <v>25.242741935483867</v>
      </c>
      <c r="Y55" s="673"/>
      <c r="Z55" s="474">
        <v>41852</v>
      </c>
      <c r="AA55" s="699">
        <v>125.3728</v>
      </c>
      <c r="AB55" s="113"/>
      <c r="AC55" s="700">
        <v>94.55040000000001</v>
      </c>
      <c r="AD55" s="132"/>
    </row>
    <row r="56" spans="14:35" ht="15" customHeight="1" x14ac:dyDescent="0.25">
      <c r="N56" s="524"/>
      <c r="O56" s="525"/>
      <c r="P56" s="526"/>
      <c r="Q56" s="526"/>
      <c r="R56" s="527"/>
      <c r="T56" s="474">
        <v>38231</v>
      </c>
      <c r="U56" s="112">
        <v>53.050200000000004</v>
      </c>
      <c r="V56" s="113">
        <v>48.361879999999999</v>
      </c>
      <c r="W56" s="114">
        <v>29.606639999999995</v>
      </c>
      <c r="X56" s="132">
        <v>25.935833333333328</v>
      </c>
      <c r="Y56" s="673"/>
      <c r="Z56" s="474">
        <v>41883</v>
      </c>
      <c r="AA56" s="699">
        <v>123.73200000000001</v>
      </c>
      <c r="AB56" s="113"/>
      <c r="AC56" s="700">
        <v>93.185400000000001</v>
      </c>
      <c r="AD56" s="132"/>
    </row>
    <row r="57" spans="14:35" ht="15" customHeight="1" x14ac:dyDescent="0.25">
      <c r="N57" s="524"/>
      <c r="O57" s="525"/>
      <c r="P57" s="526"/>
      <c r="Q57" s="526"/>
      <c r="R57" s="527"/>
      <c r="T57" s="474">
        <v>38261</v>
      </c>
      <c r="U57" s="112">
        <v>62.45345806451612</v>
      </c>
      <c r="V57" s="113">
        <v>56.627380645161296</v>
      </c>
      <c r="W57" s="114">
        <v>33.323748387096771</v>
      </c>
      <c r="X57" s="132">
        <v>31.404032258064515</v>
      </c>
      <c r="Y57" s="673"/>
      <c r="Z57" s="474">
        <v>41913</v>
      </c>
      <c r="AA57" s="699">
        <v>115.31939999999999</v>
      </c>
      <c r="AB57" s="113"/>
      <c r="AC57" s="700">
        <v>85.544550000000001</v>
      </c>
      <c r="AD57" s="132"/>
    </row>
    <row r="58" spans="14:35" ht="15" customHeight="1" x14ac:dyDescent="0.25">
      <c r="N58" s="524"/>
      <c r="O58" s="525"/>
      <c r="P58" s="526"/>
      <c r="Q58" s="526"/>
      <c r="R58" s="527"/>
      <c r="T58" s="474">
        <v>38292</v>
      </c>
      <c r="U58" s="112">
        <v>64.408119999999997</v>
      </c>
      <c r="V58" s="113">
        <v>58.155439999999999</v>
      </c>
      <c r="W58" s="114">
        <v>33.142479999999999</v>
      </c>
      <c r="X58" s="132">
        <v>21.463333333333331</v>
      </c>
      <c r="Y58" s="673"/>
      <c r="Z58" s="474">
        <v>41944</v>
      </c>
      <c r="AA58" s="699">
        <v>106.12699999999998</v>
      </c>
      <c r="AB58" s="113"/>
      <c r="AC58" s="700">
        <v>72.882599999999996</v>
      </c>
      <c r="AD58" s="132"/>
    </row>
    <row r="59" spans="14:35" ht="15" customHeight="1" thickBot="1" x14ac:dyDescent="0.3">
      <c r="N59" s="528"/>
      <c r="O59" s="529"/>
      <c r="P59" s="530"/>
      <c r="Q59" s="530"/>
      <c r="R59" s="531"/>
      <c r="T59" s="476">
        <v>38322</v>
      </c>
      <c r="U59" s="115">
        <v>58.277438709677426</v>
      </c>
      <c r="V59" s="116">
        <v>51.745625806451606</v>
      </c>
      <c r="W59" s="117">
        <v>25.624741935483872</v>
      </c>
      <c r="X59" s="133">
        <v>22.366935483870968</v>
      </c>
      <c r="Y59" s="673"/>
      <c r="Z59" s="474">
        <v>41974</v>
      </c>
      <c r="AA59" s="115">
        <v>86.14</v>
      </c>
      <c r="AB59" s="116"/>
      <c r="AC59" s="117">
        <v>58.41</v>
      </c>
      <c r="AD59" s="133"/>
    </row>
    <row r="60" spans="14:35" ht="15" customHeight="1" thickBot="1" x14ac:dyDescent="0.3">
      <c r="N60" s="532"/>
      <c r="O60" s="533"/>
      <c r="P60" s="534"/>
      <c r="Q60" s="534"/>
      <c r="R60" s="535"/>
      <c r="T60" s="472" t="s">
        <v>182</v>
      </c>
      <c r="U60" s="119">
        <v>49.799732786885237</v>
      </c>
      <c r="V60" s="263">
        <v>45.710906557377051</v>
      </c>
      <c r="W60" s="121">
        <v>29.441495081967211</v>
      </c>
      <c r="X60" s="262">
        <v>24.705601092896163</v>
      </c>
      <c r="Y60" s="673"/>
      <c r="Z60" s="472" t="s">
        <v>256</v>
      </c>
      <c r="AA60" s="119">
        <v>121.32</v>
      </c>
      <c r="AB60" s="120">
        <f>SUM(AB48:AB59)/7</f>
        <v>0</v>
      </c>
      <c r="AC60" s="121">
        <v>89.99</v>
      </c>
      <c r="AD60" s="134"/>
    </row>
    <row r="61" spans="14:35" ht="15" customHeight="1" thickBot="1" x14ac:dyDescent="0.3">
      <c r="T61"/>
      <c r="U61"/>
      <c r="V61"/>
      <c r="W61"/>
      <c r="X61"/>
      <c r="Y61"/>
    </row>
    <row r="62" spans="14:35" ht="15" customHeight="1" x14ac:dyDescent="0.25">
      <c r="N62" s="520"/>
      <c r="O62" s="521"/>
      <c r="P62" s="522"/>
      <c r="Q62" s="522"/>
      <c r="R62" s="523"/>
      <c r="T62" s="473">
        <v>38353</v>
      </c>
      <c r="U62" s="122">
        <v>56.73996774193548</v>
      </c>
      <c r="V62" s="123">
        <v>51.570580645161293</v>
      </c>
      <c r="W62" s="341">
        <v>30.89831612903226</v>
      </c>
      <c r="X62" s="342">
        <v>26.711290322580648</v>
      </c>
      <c r="Y62" s="674"/>
      <c r="Z62" s="473">
        <v>42005</v>
      </c>
      <c r="AA62" s="697">
        <v>73.791199999999989</v>
      </c>
      <c r="AB62" s="123"/>
      <c r="AC62" s="698">
        <v>48.616399999999999</v>
      </c>
      <c r="AD62" s="135"/>
      <c r="AG62" s="725"/>
      <c r="AI62" s="311"/>
    </row>
    <row r="63" spans="14:35" ht="15" customHeight="1" x14ac:dyDescent="0.25">
      <c r="N63" s="524"/>
      <c r="O63" s="525"/>
      <c r="P63" s="526"/>
      <c r="Q63" s="526"/>
      <c r="R63" s="527"/>
      <c r="T63" s="474">
        <v>38384</v>
      </c>
      <c r="U63" s="112">
        <v>58.706100000000006</v>
      </c>
      <c r="V63" s="113">
        <v>53.365499999999997</v>
      </c>
      <c r="W63" s="338">
        <v>32.011500000000005</v>
      </c>
      <c r="X63" s="337">
        <v>27.349999999999998</v>
      </c>
      <c r="Y63" s="674"/>
      <c r="Z63" s="474">
        <v>42036</v>
      </c>
      <c r="AA63" s="699">
        <v>74.2042</v>
      </c>
      <c r="AB63" s="113"/>
      <c r="AC63" s="700">
        <v>47.878600000000006</v>
      </c>
      <c r="AD63" s="132"/>
      <c r="AG63" s="725"/>
      <c r="AI63" s="311"/>
    </row>
    <row r="64" spans="14:35" ht="15" customHeight="1" x14ac:dyDescent="0.25">
      <c r="N64" s="524"/>
      <c r="O64" s="525"/>
      <c r="P64" s="526"/>
      <c r="Q64" s="526"/>
      <c r="R64" s="527"/>
      <c r="T64" s="474">
        <v>38412</v>
      </c>
      <c r="U64" s="112">
        <v>65.133464516129024</v>
      </c>
      <c r="V64" s="113">
        <v>58.957838709677404</v>
      </c>
      <c r="W64" s="338">
        <v>34.262380645161294</v>
      </c>
      <c r="X64" s="337">
        <v>30.641129032258061</v>
      </c>
      <c r="Y64" s="674"/>
      <c r="Z64" s="474">
        <v>42064</v>
      </c>
      <c r="AA64" s="699">
        <v>81.313400000000001</v>
      </c>
      <c r="AB64" s="113"/>
      <c r="AC64" s="700">
        <v>53.919600000000003</v>
      </c>
      <c r="AD64" s="132"/>
      <c r="AG64" s="725"/>
      <c r="AI64" s="311"/>
    </row>
    <row r="65" spans="14:35" ht="15" customHeight="1" x14ac:dyDescent="0.25">
      <c r="N65" s="524"/>
      <c r="O65" s="525"/>
      <c r="P65" s="526"/>
      <c r="Q65" s="526"/>
      <c r="R65" s="527"/>
      <c r="T65" s="474">
        <v>38443</v>
      </c>
      <c r="U65" s="112">
        <v>70.201740000000001</v>
      </c>
      <c r="V65" s="113">
        <v>63.818579999999997</v>
      </c>
      <c r="W65" s="338">
        <v>38.294199999999996</v>
      </c>
      <c r="X65" s="337">
        <v>34.666666666666664</v>
      </c>
      <c r="Y65" s="674"/>
      <c r="Z65" s="474">
        <v>42095</v>
      </c>
      <c r="AA65" s="699">
        <v>78.968399999999988</v>
      </c>
      <c r="AB65" s="113"/>
      <c r="AC65" s="700">
        <v>53.043900000000001</v>
      </c>
      <c r="AD65" s="132"/>
      <c r="AG65" s="725"/>
      <c r="AI65" s="311"/>
    </row>
    <row r="66" spans="14:35" ht="15" customHeight="1" x14ac:dyDescent="0.25">
      <c r="N66" s="524"/>
      <c r="O66" s="525"/>
      <c r="P66" s="526"/>
      <c r="Q66" s="526"/>
      <c r="R66" s="527"/>
      <c r="T66" s="474">
        <v>38473</v>
      </c>
      <c r="U66" s="112">
        <v>64.988632258064513</v>
      </c>
      <c r="V66" s="113">
        <v>60.27298064516129</v>
      </c>
      <c r="W66" s="338">
        <v>41.404548387096774</v>
      </c>
      <c r="X66" s="337">
        <v>36.92258064516129</v>
      </c>
      <c r="Y66" s="674"/>
      <c r="Z66" s="474">
        <v>42125</v>
      </c>
      <c r="AA66" s="699">
        <v>85.7654</v>
      </c>
      <c r="AB66" s="113"/>
      <c r="AC66" s="700">
        <v>58.011800000000001</v>
      </c>
      <c r="AD66" s="132"/>
      <c r="AG66" s="725"/>
      <c r="AI66" s="311"/>
    </row>
    <row r="67" spans="14:35" ht="15" customHeight="1" x14ac:dyDescent="0.25">
      <c r="N67" s="524"/>
      <c r="O67" s="525"/>
      <c r="P67" s="526"/>
      <c r="Q67" s="526"/>
      <c r="R67" s="527"/>
      <c r="T67" s="474">
        <v>38504</v>
      </c>
      <c r="U67" s="112">
        <v>66.880240000000001</v>
      </c>
      <c r="V67" s="113">
        <v>62.220200000000013</v>
      </c>
      <c r="W67" s="338">
        <v>41.639360000000003</v>
      </c>
      <c r="X67" s="337">
        <v>37.451666666666668</v>
      </c>
      <c r="Y67" s="674"/>
      <c r="Z67" s="474">
        <v>42156</v>
      </c>
      <c r="AA67" s="699">
        <v>83.738200000000006</v>
      </c>
      <c r="AB67" s="113"/>
      <c r="AC67" s="700">
        <v>58.16299999999999</v>
      </c>
      <c r="AD67" s="132"/>
      <c r="AG67" s="725"/>
      <c r="AI67" s="311"/>
    </row>
    <row r="68" spans="14:35" ht="15" customHeight="1" x14ac:dyDescent="0.25">
      <c r="N68" s="524"/>
      <c r="O68" s="525"/>
      <c r="P68" s="526"/>
      <c r="Q68" s="526"/>
      <c r="R68" s="527"/>
      <c r="T68" s="474">
        <v>38534</v>
      </c>
      <c r="U68" s="112">
        <v>74.163329032258062</v>
      </c>
      <c r="V68" s="113">
        <v>67.627045161290326</v>
      </c>
      <c r="W68" s="338">
        <v>43.004070967741939</v>
      </c>
      <c r="X68" s="337">
        <v>37.71532258064515</v>
      </c>
      <c r="Y68" s="674"/>
      <c r="Z68" s="474">
        <v>42186</v>
      </c>
      <c r="AA68" s="699">
        <v>78.932000000000002</v>
      </c>
      <c r="AB68" s="113"/>
      <c r="AC68" s="700">
        <v>55.704599999999999</v>
      </c>
      <c r="AD68" s="132"/>
      <c r="AG68" s="725"/>
      <c r="AI68" s="311"/>
    </row>
    <row r="69" spans="14:35" ht="15" customHeight="1" x14ac:dyDescent="0.25">
      <c r="N69" s="524"/>
      <c r="O69" s="525"/>
      <c r="P69" s="526"/>
      <c r="Q69" s="526"/>
      <c r="R69" s="527"/>
      <c r="T69" s="474">
        <v>38565</v>
      </c>
      <c r="U69" s="112">
        <v>75.420619354838706</v>
      </c>
      <c r="V69" s="113">
        <v>68.840980645161295</v>
      </c>
      <c r="W69" s="338">
        <v>42.864522580645165</v>
      </c>
      <c r="X69" s="337">
        <v>39.678225806451614</v>
      </c>
      <c r="Y69" s="674"/>
      <c r="Z69" s="474">
        <v>42217</v>
      </c>
      <c r="AA69" s="699">
        <v>71.656199999999998</v>
      </c>
      <c r="AB69" s="113"/>
      <c r="AC69" s="700">
        <v>47.500599999999999</v>
      </c>
      <c r="AD69" s="132"/>
      <c r="AG69" s="725"/>
      <c r="AI69" s="311"/>
    </row>
    <row r="70" spans="14:35" ht="15" customHeight="1" x14ac:dyDescent="0.25">
      <c r="N70" s="524"/>
      <c r="O70" s="525"/>
      <c r="P70" s="526"/>
      <c r="Q70" s="526"/>
      <c r="R70" s="527"/>
      <c r="T70" s="474">
        <v>38596</v>
      </c>
      <c r="U70" s="112">
        <v>84.343980000000002</v>
      </c>
      <c r="V70" s="113">
        <v>76.87736000000001</v>
      </c>
      <c r="W70" s="338">
        <v>47.013120000000008</v>
      </c>
      <c r="X70" s="337">
        <v>43.53</v>
      </c>
      <c r="Y70" s="674"/>
      <c r="Z70" s="474">
        <v>42248</v>
      </c>
      <c r="AA70" s="699">
        <v>67.485600000000005</v>
      </c>
      <c r="AB70" s="113"/>
      <c r="AC70" s="700">
        <v>41.053599999999996</v>
      </c>
      <c r="AD70" s="132"/>
      <c r="AG70" s="725"/>
      <c r="AI70" s="311"/>
    </row>
    <row r="71" spans="14:35" ht="15" customHeight="1" x14ac:dyDescent="0.25">
      <c r="N71" s="524"/>
      <c r="O71" s="525"/>
      <c r="P71" s="526"/>
      <c r="Q71" s="526"/>
      <c r="R71" s="527"/>
      <c r="T71" s="474">
        <v>38626</v>
      </c>
      <c r="U71" s="112">
        <v>95.783032258064523</v>
      </c>
      <c r="V71" s="113">
        <v>86.531922580645144</v>
      </c>
      <c r="W71" s="338">
        <v>49.51759354838709</v>
      </c>
      <c r="X71" s="337">
        <v>42.792741935483875</v>
      </c>
      <c r="Y71" s="674"/>
      <c r="Z71" s="474">
        <v>42278</v>
      </c>
      <c r="AA71" s="699">
        <v>65.709000000000003</v>
      </c>
      <c r="AB71" s="113"/>
      <c r="AC71" s="700">
        <v>40.396999999999998</v>
      </c>
      <c r="AD71" s="132"/>
      <c r="AG71" s="725"/>
      <c r="AI71" s="311"/>
    </row>
    <row r="72" spans="14:35" ht="15" customHeight="1" x14ac:dyDescent="0.25">
      <c r="N72" s="524"/>
      <c r="O72" s="525"/>
      <c r="P72" s="526"/>
      <c r="Q72" s="526"/>
      <c r="R72" s="527"/>
      <c r="T72" s="474">
        <v>38657</v>
      </c>
      <c r="U72" s="112">
        <v>81.755520000000004</v>
      </c>
      <c r="V72" s="113">
        <v>74.588359999999994</v>
      </c>
      <c r="W72" s="338">
        <v>45.918880000000001</v>
      </c>
      <c r="X72" s="337">
        <v>38.411666666666676</v>
      </c>
      <c r="Y72" s="674"/>
      <c r="Z72" s="474">
        <v>42309</v>
      </c>
      <c r="AA72" s="699">
        <v>64.048599999999993</v>
      </c>
      <c r="AB72" s="113"/>
      <c r="AC72" s="700">
        <v>38.900399999999998</v>
      </c>
      <c r="AD72" s="132"/>
      <c r="AG72" s="725"/>
      <c r="AI72" s="311"/>
    </row>
    <row r="73" spans="14:35" ht="15" customHeight="1" thickBot="1" x14ac:dyDescent="0.3">
      <c r="N73" s="528"/>
      <c r="O73" s="529"/>
      <c r="P73" s="530"/>
      <c r="Q73" s="530"/>
      <c r="R73" s="531"/>
      <c r="T73" s="476">
        <v>38687</v>
      </c>
      <c r="U73" s="115">
        <v>74.171864516129034</v>
      </c>
      <c r="V73" s="116">
        <v>68.110316129032256</v>
      </c>
      <c r="W73" s="339">
        <v>43.864529032258062</v>
      </c>
      <c r="X73" s="343">
        <v>41.062096774193556</v>
      </c>
      <c r="Y73" s="674"/>
      <c r="Z73" s="476">
        <v>42339</v>
      </c>
      <c r="AA73" s="115">
        <v>56.555799999999998</v>
      </c>
      <c r="AB73" s="116"/>
      <c r="AC73" s="117">
        <v>33.056800000000003</v>
      </c>
      <c r="AD73" s="133"/>
      <c r="AG73" s="725"/>
      <c r="AI73" s="311"/>
    </row>
    <row r="74" spans="14:35" ht="15" customHeight="1" thickBot="1" x14ac:dyDescent="0.3">
      <c r="N74" s="532"/>
      <c r="O74" s="533"/>
      <c r="P74" s="534"/>
      <c r="Q74" s="534"/>
      <c r="R74" s="535"/>
      <c r="T74" s="472" t="s">
        <v>185</v>
      </c>
      <c r="U74" s="340">
        <v>72.431899726027396</v>
      </c>
      <c r="V74" s="263">
        <v>66.133234520547944</v>
      </c>
      <c r="W74" s="121">
        <v>40.938585205479448</v>
      </c>
      <c r="X74" s="262">
        <v>36.462534246575338</v>
      </c>
      <c r="Y74" s="673"/>
      <c r="Z74" s="472" t="s">
        <v>271</v>
      </c>
      <c r="AA74" s="119">
        <v>73.510000000000005</v>
      </c>
      <c r="AB74" s="120">
        <f>SUM(AB62:AB73)/7</f>
        <v>0</v>
      </c>
      <c r="AC74" s="121">
        <v>48.02</v>
      </c>
      <c r="AD74" s="134"/>
      <c r="AG74" s="725"/>
      <c r="AI74" s="311"/>
    </row>
    <row r="75" spans="14:35" ht="15" customHeight="1" thickBot="1" x14ac:dyDescent="0.3">
      <c r="AA75" s="311"/>
      <c r="AB75" s="311"/>
      <c r="AC75" s="311"/>
      <c r="AG75" s="725"/>
      <c r="AI75" s="311"/>
    </row>
    <row r="76" spans="14:35" ht="15" customHeight="1" x14ac:dyDescent="0.25">
      <c r="N76" s="520"/>
      <c r="O76" s="521"/>
      <c r="P76" s="522"/>
      <c r="Q76" s="522"/>
      <c r="R76" s="523"/>
      <c r="T76" s="473">
        <v>38718</v>
      </c>
      <c r="U76" s="483">
        <v>77.240574193548383</v>
      </c>
      <c r="V76" s="123">
        <v>71.588729032258072</v>
      </c>
      <c r="W76" s="341">
        <v>48.975522580645162</v>
      </c>
      <c r="X76" s="342">
        <v>45.896774193548396</v>
      </c>
      <c r="Y76" s="674"/>
      <c r="Z76" s="473">
        <v>42370</v>
      </c>
      <c r="AA76" s="697">
        <v>49.284199999999998</v>
      </c>
      <c r="AB76" s="123"/>
      <c r="AC76" s="698">
        <v>26.7988</v>
      </c>
      <c r="AD76" s="135"/>
      <c r="AF76" s="310"/>
      <c r="AG76" s="311"/>
      <c r="AH76" s="310"/>
      <c r="AI76" s="311"/>
    </row>
    <row r="77" spans="14:35" ht="15" customHeight="1" x14ac:dyDescent="0.25">
      <c r="N77" s="524"/>
      <c r="O77" s="525"/>
      <c r="P77" s="526"/>
      <c r="Q77" s="526"/>
      <c r="R77" s="527"/>
      <c r="T77" s="474">
        <v>38749</v>
      </c>
      <c r="U77" s="484">
        <v>77.196899999999999</v>
      </c>
      <c r="V77" s="113">
        <v>72.338099999999997</v>
      </c>
      <c r="W77" s="338">
        <v>52.897199999999991</v>
      </c>
      <c r="X77" s="337">
        <v>46.708035714285714</v>
      </c>
      <c r="Y77" s="674"/>
      <c r="Z77" s="474">
        <v>42401</v>
      </c>
      <c r="AA77" s="699">
        <v>46.5458</v>
      </c>
      <c r="AB77" s="113"/>
      <c r="AC77" s="700">
        <v>25.191600000000001</v>
      </c>
      <c r="AD77" s="132"/>
      <c r="AF77" s="310"/>
      <c r="AG77" s="311"/>
      <c r="AH77" s="310"/>
      <c r="AI77" s="311"/>
    </row>
    <row r="78" spans="14:35" ht="15" customHeight="1" x14ac:dyDescent="0.25">
      <c r="N78" s="524"/>
      <c r="O78" s="525"/>
      <c r="P78" s="526"/>
      <c r="Q78" s="526"/>
      <c r="R78" s="527"/>
      <c r="T78" s="474">
        <v>38777</v>
      </c>
      <c r="U78" s="484">
        <v>76.82341935483872</v>
      </c>
      <c r="V78" s="113">
        <v>71.745077419354843</v>
      </c>
      <c r="W78" s="338">
        <v>51.427103225806448</v>
      </c>
      <c r="X78" s="337">
        <v>46.681129032258063</v>
      </c>
      <c r="Y78" s="674"/>
      <c r="Z78" s="474">
        <v>42430</v>
      </c>
      <c r="AA78" s="699">
        <v>52.295600000000007</v>
      </c>
      <c r="AB78" s="113"/>
      <c r="AC78" s="700">
        <v>28.7042</v>
      </c>
      <c r="AD78" s="132"/>
      <c r="AF78" s="310"/>
      <c r="AG78" s="311"/>
      <c r="AH78" s="310"/>
      <c r="AI78" s="311"/>
    </row>
    <row r="79" spans="14:35" ht="15" customHeight="1" x14ac:dyDescent="0.25">
      <c r="N79" s="524"/>
      <c r="O79" s="525"/>
      <c r="P79" s="526"/>
      <c r="Q79" s="526"/>
      <c r="R79" s="527"/>
      <c r="T79" s="474">
        <v>38808</v>
      </c>
      <c r="U79" s="484">
        <v>83.069839999999999</v>
      </c>
      <c r="V79" s="113">
        <v>77.12124</v>
      </c>
      <c r="W79" s="338">
        <v>53.320959999999999</v>
      </c>
      <c r="X79" s="337">
        <v>50.616166666666672</v>
      </c>
      <c r="Y79" s="674"/>
      <c r="Z79" s="474">
        <v>42461</v>
      </c>
      <c r="AA79" s="699">
        <v>54.845000000000006</v>
      </c>
      <c r="AB79" s="113"/>
      <c r="AC79" s="700">
        <v>30.578800000000005</v>
      </c>
      <c r="AD79" s="132"/>
      <c r="AF79" s="310"/>
      <c r="AG79" s="311"/>
      <c r="AH79" s="310"/>
      <c r="AI79" s="311"/>
    </row>
    <row r="80" spans="14:35" ht="15" customHeight="1" x14ac:dyDescent="0.25">
      <c r="N80" s="524"/>
      <c r="O80" s="525"/>
      <c r="P80" s="526"/>
      <c r="Q80" s="526"/>
      <c r="R80" s="527"/>
      <c r="T80" s="474">
        <v>38838</v>
      </c>
      <c r="U80" s="484">
        <v>89.633148387096753</v>
      </c>
      <c r="V80" s="113">
        <v>82.917619354838706</v>
      </c>
      <c r="W80" s="338">
        <v>56.063090322580642</v>
      </c>
      <c r="X80" s="337">
        <v>49.810483870967751</v>
      </c>
      <c r="Y80" s="674"/>
      <c r="Z80" s="474">
        <v>42491</v>
      </c>
      <c r="AA80" s="699">
        <v>62.774249999999995</v>
      </c>
      <c r="AB80" s="113"/>
      <c r="AC80" s="700">
        <v>36.311100000000003</v>
      </c>
      <c r="AD80" s="132"/>
      <c r="AF80" s="310"/>
      <c r="AG80" s="311"/>
      <c r="AH80" s="310"/>
      <c r="AI80" s="311"/>
    </row>
    <row r="81" spans="14:35" ht="15" customHeight="1" x14ac:dyDescent="0.25">
      <c r="N81" s="524"/>
      <c r="O81" s="525"/>
      <c r="P81" s="526"/>
      <c r="Q81" s="526"/>
      <c r="R81" s="527"/>
      <c r="T81" s="474">
        <v>38869</v>
      </c>
      <c r="U81" s="484">
        <v>86.549679999999995</v>
      </c>
      <c r="V81" s="113">
        <v>79.903320000000008</v>
      </c>
      <c r="W81" s="338">
        <v>53.312840000000008</v>
      </c>
      <c r="X81" s="337">
        <v>46.37083333333333</v>
      </c>
      <c r="Y81" s="674"/>
      <c r="Z81" s="474">
        <v>42522</v>
      </c>
      <c r="AA81" s="699">
        <v>66.533599999999993</v>
      </c>
      <c r="AB81" s="113"/>
      <c r="AC81" s="700">
        <v>39.512200000000007</v>
      </c>
      <c r="AD81" s="132"/>
      <c r="AF81" s="310"/>
      <c r="AG81" s="311"/>
      <c r="AH81" s="310"/>
      <c r="AI81" s="311"/>
    </row>
    <row r="82" spans="14:35" ht="15" customHeight="1" x14ac:dyDescent="0.25">
      <c r="N82" s="524"/>
      <c r="O82" s="525"/>
      <c r="P82" s="526"/>
      <c r="Q82" s="526"/>
      <c r="R82" s="527"/>
      <c r="T82" s="474">
        <v>38899</v>
      </c>
      <c r="U82" s="484">
        <v>86.178716129032267</v>
      </c>
      <c r="V82" s="113">
        <v>79.361303225806452</v>
      </c>
      <c r="W82" s="338">
        <v>52.094090322580641</v>
      </c>
      <c r="X82" s="337">
        <v>49.352419354838688</v>
      </c>
      <c r="Y82" s="674"/>
      <c r="Z82" s="474">
        <v>42552</v>
      </c>
      <c r="AA82" s="699">
        <v>63.717149999999997</v>
      </c>
      <c r="AB82" s="113"/>
      <c r="AC82" s="700">
        <v>39.73095</v>
      </c>
      <c r="AD82" s="132"/>
      <c r="AF82" s="310"/>
      <c r="AG82" s="311"/>
      <c r="AH82" s="310"/>
      <c r="AI82" s="311"/>
    </row>
    <row r="83" spans="14:35" ht="15" customHeight="1" x14ac:dyDescent="0.25">
      <c r="N83" s="524"/>
      <c r="O83" s="525"/>
      <c r="P83" s="526"/>
      <c r="Q83" s="526"/>
      <c r="R83" s="527"/>
      <c r="T83" s="474">
        <v>38930</v>
      </c>
      <c r="U83" s="484">
        <v>89.458238709677417</v>
      </c>
      <c r="V83" s="113">
        <v>82.755174193548385</v>
      </c>
      <c r="W83" s="338">
        <v>55.941290322580642</v>
      </c>
      <c r="X83" s="337">
        <v>49.628225806451603</v>
      </c>
      <c r="Y83" s="674"/>
      <c r="Z83" s="474">
        <v>42583</v>
      </c>
      <c r="AA83" s="699">
        <v>60.704000000000001</v>
      </c>
      <c r="AB83" s="113"/>
      <c r="AC83" s="700">
        <v>38.375399999999999</v>
      </c>
      <c r="AD83" s="132"/>
      <c r="AF83" s="310"/>
      <c r="AG83" s="311"/>
      <c r="AH83" s="310"/>
      <c r="AI83" s="311"/>
    </row>
    <row r="84" spans="14:35" ht="15" customHeight="1" x14ac:dyDescent="0.25">
      <c r="N84" s="524"/>
      <c r="O84" s="525"/>
      <c r="P84" s="526"/>
      <c r="Q84" s="526"/>
      <c r="R84" s="527"/>
      <c r="T84" s="474">
        <v>38961</v>
      </c>
      <c r="U84" s="484">
        <v>84.610120000000009</v>
      </c>
      <c r="V84" s="113">
        <v>78.059240000000003</v>
      </c>
      <c r="W84" s="338">
        <v>51.851240000000004</v>
      </c>
      <c r="X84" s="337">
        <v>42.224166666666662</v>
      </c>
      <c r="Y84" s="674"/>
      <c r="Z84" s="474">
        <v>42614</v>
      </c>
      <c r="AA84" s="699">
        <v>65.013199999999998</v>
      </c>
      <c r="AB84" s="113"/>
      <c r="AC84" s="700">
        <v>41.714399999999998</v>
      </c>
      <c r="AD84" s="132"/>
      <c r="AF84" s="310"/>
      <c r="AG84" s="311"/>
      <c r="AH84" s="310"/>
      <c r="AI84" s="311"/>
    </row>
    <row r="85" spans="14:35" ht="15" customHeight="1" x14ac:dyDescent="0.25">
      <c r="N85" s="524"/>
      <c r="O85" s="525"/>
      <c r="P85" s="526"/>
      <c r="Q85" s="526"/>
      <c r="R85" s="527"/>
      <c r="T85" s="474">
        <v>38991</v>
      </c>
      <c r="U85" s="484">
        <v>74.886541935483891</v>
      </c>
      <c r="V85" s="113">
        <v>68.856696774193551</v>
      </c>
      <c r="W85" s="338">
        <v>44.735961290322578</v>
      </c>
      <c r="X85" s="337">
        <v>40.307258064516134</v>
      </c>
      <c r="Y85" s="674"/>
      <c r="Z85" s="474">
        <v>42644</v>
      </c>
      <c r="AA85" s="699">
        <v>68.004999999999995</v>
      </c>
      <c r="AB85" s="113"/>
      <c r="AC85" s="700">
        <v>43.97120000000001</v>
      </c>
      <c r="AD85" s="132"/>
      <c r="AF85" s="310"/>
      <c r="AG85" s="311"/>
      <c r="AH85" s="310"/>
      <c r="AI85" s="311"/>
    </row>
    <row r="86" spans="14:35" ht="15" customHeight="1" x14ac:dyDescent="0.25">
      <c r="N86" s="524"/>
      <c r="O86" s="525"/>
      <c r="P86" s="526"/>
      <c r="Q86" s="526"/>
      <c r="R86" s="527"/>
      <c r="T86" s="474">
        <v>39022</v>
      </c>
      <c r="U86" s="484">
        <v>73.801839999999984</v>
      </c>
      <c r="V86" s="113">
        <v>68.044200000000004</v>
      </c>
      <c r="W86" s="338">
        <v>45.019799999999996</v>
      </c>
      <c r="X86" s="337">
        <v>39.495833333333351</v>
      </c>
      <c r="Y86" s="674"/>
      <c r="Z86" s="474">
        <v>42675</v>
      </c>
      <c r="AA86" s="699">
        <v>67.32459999999999</v>
      </c>
      <c r="AB86" s="113"/>
      <c r="AC86" s="700">
        <v>44.242800000000003</v>
      </c>
      <c r="AD86" s="132"/>
      <c r="AF86" s="310"/>
      <c r="AG86" s="311"/>
      <c r="AH86" s="310"/>
      <c r="AI86" s="311"/>
    </row>
    <row r="87" spans="14:35" ht="15" customHeight="1" thickBot="1" x14ac:dyDescent="0.3">
      <c r="N87" s="528"/>
      <c r="O87" s="529"/>
      <c r="P87" s="530"/>
      <c r="Q87" s="530"/>
      <c r="R87" s="531"/>
      <c r="T87" s="476">
        <v>39052</v>
      </c>
      <c r="U87" s="485">
        <v>75.356400000000008</v>
      </c>
      <c r="V87" s="116">
        <v>69.123329032258056</v>
      </c>
      <c r="W87" s="339">
        <v>44.193754838709673</v>
      </c>
      <c r="X87" s="343">
        <v>39.537096774193571</v>
      </c>
      <c r="Y87" s="674"/>
      <c r="Z87" s="476">
        <v>42705</v>
      </c>
      <c r="AA87" s="115">
        <v>69.232799999999997</v>
      </c>
      <c r="AB87" s="116"/>
      <c r="AC87" s="117">
        <v>47.284999999999997</v>
      </c>
      <c r="AD87" s="133"/>
      <c r="AF87" s="310"/>
      <c r="AG87" s="311"/>
      <c r="AH87" s="310"/>
      <c r="AI87" s="311"/>
    </row>
    <row r="88" spans="14:35" ht="15" customHeight="1" thickBot="1" x14ac:dyDescent="0.3">
      <c r="N88" s="532"/>
      <c r="O88" s="533"/>
      <c r="P88" s="534"/>
      <c r="Q88" s="534"/>
      <c r="R88" s="535"/>
      <c r="T88" s="472" t="s">
        <v>214</v>
      </c>
      <c r="U88" s="340">
        <v>81.258481643835623</v>
      </c>
      <c r="V88" s="263">
        <v>75.167376986301363</v>
      </c>
      <c r="W88" s="121">
        <v>50.801704109589039</v>
      </c>
      <c r="X88" s="262">
        <v>45.55246575342472</v>
      </c>
      <c r="Y88" s="673"/>
      <c r="Z88" s="472" t="s">
        <v>284</v>
      </c>
      <c r="AA88" s="119">
        <v>60.52</v>
      </c>
      <c r="AB88" s="120">
        <f>SUM(AB76:AB87)/7</f>
        <v>0</v>
      </c>
      <c r="AC88" s="121">
        <v>36.869999999999997</v>
      </c>
      <c r="AD88" s="134"/>
      <c r="AF88" s="310"/>
      <c r="AG88" s="311"/>
      <c r="AH88" s="310"/>
      <c r="AI88" s="311"/>
    </row>
    <row r="89" spans="14:35" ht="15" customHeight="1" thickBot="1" x14ac:dyDescent="0.3">
      <c r="AF89" s="310"/>
      <c r="AG89" s="311"/>
      <c r="AH89" s="310"/>
      <c r="AI89" s="311"/>
    </row>
    <row r="90" spans="14:35" ht="15" customHeight="1" x14ac:dyDescent="0.25">
      <c r="N90" s="520"/>
      <c r="O90" s="521"/>
      <c r="P90" s="522"/>
      <c r="Q90" s="522"/>
      <c r="R90" s="523"/>
      <c r="T90" s="473">
        <v>39083</v>
      </c>
      <c r="U90" s="483">
        <v>71.06291612903226</v>
      </c>
      <c r="V90" s="123">
        <v>65.450632258064516</v>
      </c>
      <c r="W90" s="341">
        <v>42.998787096774194</v>
      </c>
      <c r="X90" s="342">
        <v>36.484677419354846</v>
      </c>
      <c r="Y90" s="674"/>
      <c r="Z90" s="473">
        <v>42736</v>
      </c>
      <c r="AA90" s="697">
        <v>74.800600000000003</v>
      </c>
      <c r="AB90" s="123"/>
      <c r="AC90" s="698">
        <v>52.120600000000003</v>
      </c>
      <c r="AD90" s="135"/>
      <c r="AF90" s="311"/>
      <c r="AG90" s="310"/>
      <c r="AH90" s="311"/>
      <c r="AI90" s="311"/>
    </row>
    <row r="91" spans="14:35" ht="15" customHeight="1" x14ac:dyDescent="0.25">
      <c r="N91" s="524"/>
      <c r="O91" s="525"/>
      <c r="P91" s="526"/>
      <c r="Q91" s="526"/>
      <c r="R91" s="527"/>
      <c r="T91" s="474">
        <v>39114</v>
      </c>
      <c r="U91" s="484">
        <v>71.08605</v>
      </c>
      <c r="V91" s="113">
        <v>65.526300000000006</v>
      </c>
      <c r="W91" s="338">
        <v>43.289400000000001</v>
      </c>
      <c r="X91" s="337">
        <v>40.31964285714286</v>
      </c>
      <c r="Y91" s="674"/>
      <c r="Z91" s="474">
        <v>42767</v>
      </c>
      <c r="AA91" s="699">
        <v>73.657499999999999</v>
      </c>
      <c r="AB91" s="113"/>
      <c r="AC91" s="700">
        <v>51.891000000000005</v>
      </c>
      <c r="AD91" s="132"/>
      <c r="AF91" s="311"/>
      <c r="AG91" s="310"/>
      <c r="AH91" s="311"/>
    </row>
    <row r="92" spans="14:35" ht="15" customHeight="1" x14ac:dyDescent="0.25">
      <c r="N92" s="524"/>
      <c r="O92" s="525"/>
      <c r="P92" s="526"/>
      <c r="Q92" s="526"/>
      <c r="R92" s="527"/>
      <c r="T92" s="474">
        <v>39142</v>
      </c>
      <c r="U92" s="484">
        <v>76.07514193548387</v>
      </c>
      <c r="V92" s="113">
        <v>70.009122580645169</v>
      </c>
      <c r="W92" s="338">
        <v>45.750464516129036</v>
      </c>
      <c r="X92" s="337">
        <v>40.584677419354826</v>
      </c>
      <c r="Y92" s="674"/>
      <c r="Z92" s="474">
        <v>42795</v>
      </c>
      <c r="AA92" s="699">
        <v>71.661799999999999</v>
      </c>
      <c r="AB92" s="113"/>
      <c r="AC92" s="700">
        <v>50.248799999999996</v>
      </c>
      <c r="AD92" s="132"/>
      <c r="AF92" s="311"/>
      <c r="AG92" s="310"/>
      <c r="AH92" s="311"/>
    </row>
    <row r="93" spans="14:35" ht="15" customHeight="1" x14ac:dyDescent="0.25">
      <c r="N93" s="524"/>
      <c r="O93" s="525"/>
      <c r="P93" s="526"/>
      <c r="Q93" s="526"/>
      <c r="R93" s="527"/>
      <c r="S93" s="311"/>
      <c r="T93" s="474">
        <v>39173</v>
      </c>
      <c r="U93" s="484">
        <v>80.593519999999998</v>
      </c>
      <c r="V93" s="113">
        <v>74.342800000000011</v>
      </c>
      <c r="W93" s="338">
        <v>49.340480000000007</v>
      </c>
      <c r="X93" s="337">
        <v>46.598333333333336</v>
      </c>
      <c r="Y93" s="674"/>
      <c r="Z93" s="474">
        <v>42826</v>
      </c>
      <c r="AA93" s="699">
        <v>72.0398</v>
      </c>
      <c r="AB93" s="113"/>
      <c r="AC93" s="700">
        <v>49.613199999999999</v>
      </c>
      <c r="AD93" s="132"/>
      <c r="AF93" s="311"/>
      <c r="AG93" s="310"/>
      <c r="AH93" s="311"/>
    </row>
    <row r="94" spans="14:35" ht="15" customHeight="1" x14ac:dyDescent="0.25">
      <c r="N94" s="524"/>
      <c r="O94" s="525"/>
      <c r="P94" s="526"/>
      <c r="Q94" s="526"/>
      <c r="R94" s="527"/>
      <c r="S94" s="311"/>
      <c r="T94" s="474">
        <v>39203</v>
      </c>
      <c r="U94" s="484">
        <v>83.303748387096789</v>
      </c>
      <c r="V94" s="113">
        <v>77.534709677419357</v>
      </c>
      <c r="W94" s="338">
        <v>54.454625806451617</v>
      </c>
      <c r="X94" s="337">
        <v>50.35</v>
      </c>
      <c r="Y94" s="674"/>
      <c r="Z94" s="474">
        <v>42856</v>
      </c>
      <c r="AA94" s="699">
        <v>70.195999999999998</v>
      </c>
      <c r="AB94" s="113"/>
      <c r="AC94" s="700">
        <v>49.606200000000001</v>
      </c>
      <c r="AD94" s="132"/>
      <c r="AF94" s="311"/>
      <c r="AG94" s="310"/>
      <c r="AH94" s="311"/>
    </row>
    <row r="95" spans="14:35" ht="15" customHeight="1" x14ac:dyDescent="0.25">
      <c r="N95" s="524"/>
      <c r="O95" s="525"/>
      <c r="P95" s="526"/>
      <c r="Q95" s="526"/>
      <c r="R95" s="527"/>
      <c r="S95" s="311"/>
      <c r="T95" s="474">
        <v>39234</v>
      </c>
      <c r="U95" s="484">
        <v>87.746259999999992</v>
      </c>
      <c r="V95" s="113">
        <v>81.589199999999991</v>
      </c>
      <c r="W95" s="338">
        <v>56.960120000000003</v>
      </c>
      <c r="X95" s="337">
        <v>52.120000000000005</v>
      </c>
      <c r="Y95" s="674"/>
      <c r="Z95" s="474">
        <v>42887</v>
      </c>
      <c r="AA95" s="699">
        <v>67.947599999999994</v>
      </c>
      <c r="AB95" s="113"/>
      <c r="AC95" s="700">
        <v>48.916000000000004</v>
      </c>
      <c r="AD95" s="132"/>
      <c r="AF95" s="311"/>
      <c r="AG95" s="310"/>
      <c r="AH95" s="311"/>
    </row>
    <row r="96" spans="14:35" ht="15" customHeight="1" x14ac:dyDescent="0.25">
      <c r="N96" s="524"/>
      <c r="O96" s="525"/>
      <c r="P96" s="526"/>
      <c r="Q96" s="526"/>
      <c r="R96" s="527"/>
      <c r="S96" s="311"/>
      <c r="T96" s="474">
        <v>39264</v>
      </c>
      <c r="U96" s="484">
        <v>90.516774193548386</v>
      </c>
      <c r="V96" s="113">
        <v>84.197806451612905</v>
      </c>
      <c r="W96" s="338">
        <v>58.920987096774191</v>
      </c>
      <c r="X96" s="337">
        <v>55.552419354838705</v>
      </c>
      <c r="Y96" s="674"/>
      <c r="Z96" s="474">
        <v>42917</v>
      </c>
      <c r="AA96" s="699">
        <v>65.665600000000012</v>
      </c>
      <c r="AB96" s="113"/>
      <c r="AC96" s="700">
        <v>47.835199999999993</v>
      </c>
      <c r="AD96" s="132"/>
      <c r="AF96" s="311"/>
      <c r="AG96" s="310"/>
      <c r="AH96" s="311"/>
    </row>
    <row r="97" spans="5:34" ht="15" customHeight="1" x14ac:dyDescent="0.25">
      <c r="N97" s="524"/>
      <c r="O97" s="525"/>
      <c r="P97" s="526"/>
      <c r="Q97" s="526"/>
      <c r="R97" s="527"/>
      <c r="S97" s="311"/>
      <c r="T97" s="474">
        <v>39295</v>
      </c>
      <c r="U97" s="484">
        <v>89.238348387096764</v>
      </c>
      <c r="V97" s="113">
        <v>83.620374193548386</v>
      </c>
      <c r="W97" s="338">
        <v>61.146987096774197</v>
      </c>
      <c r="X97" s="337">
        <v>54.147580645161305</v>
      </c>
      <c r="Y97" s="674"/>
      <c r="Z97" s="474">
        <v>42948</v>
      </c>
      <c r="AA97" s="699">
        <v>73.058999999999997</v>
      </c>
      <c r="AB97" s="113"/>
      <c r="AC97" s="700">
        <v>51.361800000000002</v>
      </c>
      <c r="AD97" s="132"/>
      <c r="AF97" s="311"/>
      <c r="AG97" s="310"/>
      <c r="AH97" s="311"/>
    </row>
    <row r="98" spans="5:34" ht="15" customHeight="1" x14ac:dyDescent="0.25">
      <c r="H98" s="311"/>
      <c r="I98" s="311"/>
      <c r="J98" s="311"/>
      <c r="K98" s="311"/>
      <c r="N98" s="524"/>
      <c r="O98" s="525"/>
      <c r="P98" s="526"/>
      <c r="Q98" s="526"/>
      <c r="R98" s="527"/>
      <c r="S98" s="311"/>
      <c r="T98" s="474">
        <v>39326</v>
      </c>
      <c r="U98" s="484">
        <v>90.354180000000014</v>
      </c>
      <c r="V98" s="113">
        <v>84.043400000000005</v>
      </c>
      <c r="W98" s="338">
        <v>58.8</v>
      </c>
      <c r="X98" s="337">
        <v>56.789166666666681</v>
      </c>
      <c r="Y98" s="674"/>
      <c r="Z98" s="474">
        <v>42979</v>
      </c>
      <c r="AA98" s="699">
        <v>78.4602</v>
      </c>
      <c r="AB98" s="113"/>
      <c r="AC98" s="700">
        <v>53.138399999999997</v>
      </c>
      <c r="AD98" s="132"/>
      <c r="AF98" s="311"/>
      <c r="AG98" s="310"/>
      <c r="AH98" s="311"/>
    </row>
    <row r="99" spans="5:34" ht="15" customHeight="1" x14ac:dyDescent="0.25">
      <c r="E99" s="309"/>
      <c r="F99" s="310"/>
      <c r="G99" s="310"/>
      <c r="H99" s="311"/>
      <c r="I99" s="311"/>
      <c r="J99" s="311"/>
      <c r="K99" s="311"/>
      <c r="N99" s="524"/>
      <c r="O99" s="525"/>
      <c r="P99" s="526"/>
      <c r="Q99" s="526"/>
      <c r="R99" s="527"/>
      <c r="S99" s="311"/>
      <c r="T99" s="474">
        <v>39356</v>
      </c>
      <c r="U99" s="484">
        <v>96.852406451612907</v>
      </c>
      <c r="V99" s="113">
        <v>90.233883870967745</v>
      </c>
      <c r="W99" s="338">
        <v>63.759387096774198</v>
      </c>
      <c r="X99" s="337">
        <v>63.739516129032246</v>
      </c>
      <c r="Y99" s="674"/>
      <c r="Z99" s="474">
        <v>43009</v>
      </c>
      <c r="AA99" s="699">
        <v>80.130400000000009</v>
      </c>
      <c r="AB99" s="113"/>
      <c r="AC99" s="700">
        <v>54.144999999999996</v>
      </c>
      <c r="AD99" s="132"/>
      <c r="AF99" s="311"/>
      <c r="AG99" s="310"/>
      <c r="AH99" s="311"/>
    </row>
    <row r="100" spans="5:34" ht="15" customHeight="1" x14ac:dyDescent="0.25">
      <c r="E100" s="309"/>
      <c r="F100" s="310"/>
      <c r="G100" s="310"/>
      <c r="H100" s="311"/>
      <c r="I100" s="311"/>
      <c r="J100" s="311"/>
      <c r="K100" s="311"/>
      <c r="N100" s="524"/>
      <c r="O100" s="525"/>
      <c r="P100" s="526"/>
      <c r="Q100" s="526"/>
      <c r="R100" s="527"/>
      <c r="S100" s="311"/>
      <c r="T100" s="474">
        <v>39387</v>
      </c>
      <c r="U100" s="484">
        <v>107.79804</v>
      </c>
      <c r="V100" s="113">
        <v>101.46611999999999</v>
      </c>
      <c r="W100" s="338">
        <v>75.572839999999999</v>
      </c>
      <c r="X100" s="337">
        <v>72.482500000000016</v>
      </c>
      <c r="Y100" s="674"/>
      <c r="Z100" s="474">
        <v>43040</v>
      </c>
      <c r="AA100" s="699">
        <v>82.657399999999996</v>
      </c>
      <c r="AB100" s="113"/>
      <c r="AC100" s="700">
        <v>58.445799999999998</v>
      </c>
      <c r="AD100" s="132"/>
      <c r="AF100" s="311"/>
      <c r="AG100" s="310"/>
      <c r="AH100" s="311"/>
    </row>
    <row r="101" spans="5:34" ht="15" customHeight="1" thickBot="1" x14ac:dyDescent="0.3">
      <c r="E101" s="309"/>
      <c r="F101" s="310"/>
      <c r="G101" s="310"/>
      <c r="H101" s="311"/>
      <c r="I101" s="311"/>
      <c r="J101" s="311"/>
      <c r="K101" s="311"/>
      <c r="N101" s="528"/>
      <c r="O101" s="529"/>
      <c r="P101" s="530"/>
      <c r="Q101" s="530"/>
      <c r="R101" s="531"/>
      <c r="S101" s="311"/>
      <c r="T101" s="476">
        <v>39417</v>
      </c>
      <c r="U101" s="485">
        <v>112.17007741935483</v>
      </c>
      <c r="V101" s="116">
        <v>104.47242580645162</v>
      </c>
      <c r="W101" s="339">
        <v>74.227954838709678</v>
      </c>
      <c r="X101" s="343">
        <v>68.187903225806465</v>
      </c>
      <c r="Y101" s="674"/>
      <c r="Z101" s="476">
        <v>43070</v>
      </c>
      <c r="AA101" s="115">
        <v>84.555800000000005</v>
      </c>
      <c r="AB101" s="116"/>
      <c r="AC101" s="117">
        <v>60.227999999999994</v>
      </c>
      <c r="AD101" s="133"/>
      <c r="AF101" s="311"/>
      <c r="AG101" s="310"/>
      <c r="AH101" s="311"/>
    </row>
    <row r="102" spans="5:34" ht="15" customHeight="1" thickBot="1" x14ac:dyDescent="0.3">
      <c r="E102" s="309"/>
      <c r="F102" s="310"/>
      <c r="G102" s="310"/>
      <c r="H102" s="311"/>
      <c r="I102" s="311"/>
      <c r="J102" s="311"/>
      <c r="K102" s="311"/>
      <c r="N102" s="532"/>
      <c r="O102" s="533"/>
      <c r="P102" s="534"/>
      <c r="Q102" s="534"/>
      <c r="R102" s="535"/>
      <c r="S102" s="311"/>
      <c r="T102" s="472" t="s">
        <v>215</v>
      </c>
      <c r="U102" s="340">
        <v>88.167044383561645</v>
      </c>
      <c r="V102" s="263">
        <v>81.970053698630139</v>
      </c>
      <c r="W102" s="121">
        <v>57.181757260273969</v>
      </c>
      <c r="X102" s="262">
        <v>53.175616438356222</v>
      </c>
      <c r="Y102" s="673"/>
      <c r="Z102" s="472" t="s">
        <v>286</v>
      </c>
      <c r="AA102" s="119">
        <v>74.569999999999993</v>
      </c>
      <c r="AB102" s="120">
        <f>SUM(AB90:AB101)/7</f>
        <v>0</v>
      </c>
      <c r="AC102" s="121">
        <v>52.3</v>
      </c>
      <c r="AD102" s="134"/>
      <c r="AF102" s="311"/>
      <c r="AG102" s="311"/>
      <c r="AH102" s="311"/>
    </row>
    <row r="103" spans="5:34" ht="15" customHeight="1" thickBot="1" x14ac:dyDescent="0.3">
      <c r="E103" s="309"/>
      <c r="F103" s="310"/>
      <c r="G103" s="310"/>
      <c r="H103" s="311"/>
      <c r="I103" s="311"/>
      <c r="J103" s="311"/>
      <c r="K103" s="311"/>
      <c r="S103" s="311"/>
      <c r="T103" s="311"/>
      <c r="U103" s="311"/>
      <c r="AF103" s="311"/>
      <c r="AG103" s="310"/>
      <c r="AH103" s="311"/>
    </row>
    <row r="104" spans="5:34" ht="15" customHeight="1" x14ac:dyDescent="0.25">
      <c r="E104" s="309"/>
      <c r="F104" s="310"/>
      <c r="G104" s="310"/>
      <c r="H104" s="311"/>
      <c r="I104" s="311"/>
      <c r="J104" s="311"/>
      <c r="K104" s="311"/>
      <c r="N104" s="469"/>
      <c r="O104" s="122"/>
      <c r="P104" s="123"/>
      <c r="Q104" s="124"/>
      <c r="R104" s="135"/>
      <c r="S104" s="311"/>
      <c r="T104" s="473">
        <v>39448</v>
      </c>
      <c r="U104" s="483">
        <v>112.64156129032258</v>
      </c>
      <c r="V104" s="123">
        <v>105.13250322580646</v>
      </c>
      <c r="W104" s="341">
        <v>75.09938709677418</v>
      </c>
      <c r="X104" s="342">
        <v>69.479838709677438</v>
      </c>
      <c r="Y104" s="674"/>
      <c r="Z104" s="473">
        <v>43101</v>
      </c>
      <c r="AA104" s="697">
        <v>89.434800000000024</v>
      </c>
      <c r="AB104" s="123"/>
      <c r="AC104" s="698">
        <v>62.244000000000007</v>
      </c>
      <c r="AD104" s="135"/>
      <c r="AH104" s="311"/>
    </row>
    <row r="105" spans="5:34" ht="15" customHeight="1" x14ac:dyDescent="0.25">
      <c r="E105" s="309"/>
      <c r="F105" s="310"/>
      <c r="G105" s="311"/>
      <c r="H105" s="311"/>
      <c r="I105" s="311"/>
      <c r="J105" s="311"/>
      <c r="K105" s="311"/>
      <c r="N105" s="470"/>
      <c r="O105" s="112"/>
      <c r="P105" s="113"/>
      <c r="Q105" s="114"/>
      <c r="R105" s="132"/>
      <c r="S105" s="311"/>
      <c r="T105" s="474">
        <v>39479</v>
      </c>
      <c r="U105" s="484">
        <v>110.10850344827587</v>
      </c>
      <c r="V105" s="113">
        <v>102.71230344827586</v>
      </c>
      <c r="W105" s="338">
        <v>73.128806896551737</v>
      </c>
      <c r="X105" s="337">
        <v>68.043965517241361</v>
      </c>
      <c r="Y105" s="674"/>
      <c r="Z105" s="475">
        <v>43132</v>
      </c>
      <c r="AA105" s="699">
        <v>89.760300000000001</v>
      </c>
      <c r="AB105" s="113"/>
      <c r="AC105" s="700">
        <v>61.647599999999997</v>
      </c>
      <c r="AD105" s="132"/>
    </row>
    <row r="106" spans="5:34" ht="15" customHeight="1" x14ac:dyDescent="0.25">
      <c r="E106" s="309"/>
      <c r="F106" s="310"/>
      <c r="G106" s="311"/>
      <c r="H106" s="311"/>
      <c r="I106" s="311"/>
      <c r="J106" s="311"/>
      <c r="K106" s="311"/>
      <c r="N106" s="470"/>
      <c r="O106" s="112"/>
      <c r="P106" s="113"/>
      <c r="Q106" s="114"/>
      <c r="R106" s="132"/>
      <c r="S106" s="311"/>
      <c r="T106" s="474">
        <v>39508</v>
      </c>
      <c r="U106" s="484">
        <v>124.65017419354837</v>
      </c>
      <c r="V106" s="113">
        <v>114.94993548387097</v>
      </c>
      <c r="W106" s="338">
        <v>76.145593548387097</v>
      </c>
      <c r="X106" s="337">
        <v>71.533064516129016</v>
      </c>
      <c r="Y106" s="674"/>
      <c r="Z106" s="474">
        <v>43160</v>
      </c>
      <c r="AA106" s="699">
        <v>86.111199999999997</v>
      </c>
      <c r="AB106" s="113"/>
      <c r="AC106" s="700">
        <v>60.192999999999998</v>
      </c>
      <c r="AD106" s="132"/>
    </row>
    <row r="107" spans="5:34" ht="15" customHeight="1" x14ac:dyDescent="0.25">
      <c r="E107" s="309"/>
      <c r="F107" s="310"/>
      <c r="G107" s="311"/>
      <c r="H107" s="311"/>
      <c r="I107" s="311"/>
      <c r="J107" s="311"/>
      <c r="K107" s="311"/>
      <c r="N107" s="470"/>
      <c r="O107" s="112"/>
      <c r="P107" s="113"/>
      <c r="Q107" s="114"/>
      <c r="R107" s="132"/>
      <c r="S107" s="311"/>
      <c r="T107" s="474">
        <v>39539</v>
      </c>
      <c r="U107" s="484">
        <v>132.24455999999998</v>
      </c>
      <c r="V107" s="113">
        <v>121.30299999999998</v>
      </c>
      <c r="W107" s="338">
        <v>77.533119999999997</v>
      </c>
      <c r="X107" s="337">
        <v>75.55749999999999</v>
      </c>
      <c r="Y107" s="674"/>
      <c r="Z107" s="474">
        <v>43191</v>
      </c>
      <c r="AA107" s="699">
        <v>90.067599999999999</v>
      </c>
      <c r="AB107" s="113"/>
      <c r="AC107" s="700">
        <v>61.891199999999998</v>
      </c>
      <c r="AD107" s="132"/>
    </row>
    <row r="108" spans="5:34" ht="15" customHeight="1" x14ac:dyDescent="0.25">
      <c r="E108" s="309"/>
      <c r="F108" s="310"/>
      <c r="G108" s="311"/>
      <c r="H108" s="311"/>
      <c r="I108" s="311"/>
      <c r="J108" s="311"/>
      <c r="K108" s="311"/>
      <c r="N108" s="470"/>
      <c r="O108" s="112"/>
      <c r="P108" s="113"/>
      <c r="Q108" s="114"/>
      <c r="R108" s="132"/>
      <c r="S108" s="311"/>
      <c r="T108" s="474">
        <v>39569</v>
      </c>
      <c r="U108" s="484">
        <v>147.12816774193547</v>
      </c>
      <c r="V108" s="113">
        <v>135.02024516129032</v>
      </c>
      <c r="W108" s="338">
        <v>86.588961290322587</v>
      </c>
      <c r="X108" s="337">
        <v>84.564516129032256</v>
      </c>
      <c r="Y108" s="674"/>
      <c r="Z108" s="474">
        <v>43221</v>
      </c>
      <c r="AA108" s="699">
        <v>96.415199999999999</v>
      </c>
      <c r="AB108" s="113"/>
      <c r="AC108" s="700">
        <v>67.977000000000004</v>
      </c>
      <c r="AD108" s="132"/>
    </row>
    <row r="109" spans="5:34" ht="15" customHeight="1" x14ac:dyDescent="0.25">
      <c r="E109" s="309"/>
      <c r="F109" s="310"/>
      <c r="G109" s="311"/>
      <c r="H109" s="311"/>
      <c r="I109" s="311"/>
      <c r="J109" s="311"/>
      <c r="K109" s="311"/>
      <c r="N109" s="470"/>
      <c r="O109" s="112"/>
      <c r="P109" s="113"/>
      <c r="Q109" s="114"/>
      <c r="R109" s="132"/>
      <c r="S109" s="311"/>
      <c r="T109" s="474">
        <v>39600</v>
      </c>
      <c r="U109" s="484">
        <v>164.75283999999996</v>
      </c>
      <c r="V109" s="113">
        <v>150.81752</v>
      </c>
      <c r="W109" s="338">
        <v>95.078479999999985</v>
      </c>
      <c r="X109" s="337">
        <v>93.664166666666659</v>
      </c>
      <c r="Y109" s="674"/>
      <c r="Z109" s="474">
        <v>43252</v>
      </c>
      <c r="AA109" s="699">
        <v>97.808199999999999</v>
      </c>
      <c r="AB109" s="113"/>
      <c r="AC109" s="700">
        <v>70.910000000000011</v>
      </c>
      <c r="AD109" s="132"/>
    </row>
    <row r="110" spans="5:34" ht="15" customHeight="1" x14ac:dyDescent="0.25">
      <c r="G110" s="311"/>
      <c r="N110" s="470"/>
      <c r="O110" s="112"/>
      <c r="P110" s="113"/>
      <c r="Q110" s="114"/>
      <c r="R110" s="132"/>
      <c r="S110" s="311"/>
      <c r="T110" s="474">
        <v>39630</v>
      </c>
      <c r="U110" s="484">
        <v>169.32719999999998</v>
      </c>
      <c r="V110" s="113">
        <v>157.51300645161288</v>
      </c>
      <c r="W110" s="338">
        <v>110.26558064516128</v>
      </c>
      <c r="X110" s="337">
        <v>107.14193548387098</v>
      </c>
      <c r="Y110" s="674"/>
      <c r="Z110" s="474">
        <v>43282</v>
      </c>
      <c r="AA110" s="699">
        <v>95.04740000000001</v>
      </c>
      <c r="AB110" s="113"/>
      <c r="AC110" s="700">
        <v>71.778000000000006</v>
      </c>
      <c r="AD110" s="132"/>
    </row>
    <row r="111" spans="5:34" ht="15" customHeight="1" x14ac:dyDescent="0.25">
      <c r="G111" s="311"/>
      <c r="N111" s="470"/>
      <c r="O111" s="112"/>
      <c r="P111" s="113"/>
      <c r="Q111" s="114"/>
      <c r="R111" s="132"/>
      <c r="S111" s="311"/>
      <c r="T111" s="474">
        <v>39661</v>
      </c>
      <c r="U111" s="484">
        <v>149.55370019445868</v>
      </c>
      <c r="V111" s="113">
        <v>141.22892276083198</v>
      </c>
      <c r="W111" s="338">
        <v>107.93306463922831</v>
      </c>
      <c r="X111" s="337">
        <v>97.374193548387112</v>
      </c>
      <c r="Y111" s="674"/>
      <c r="Z111" s="474">
        <v>43313</v>
      </c>
      <c r="AA111" s="699">
        <v>94.834950000000006</v>
      </c>
      <c r="AB111" s="113"/>
      <c r="AC111" s="700">
        <v>70.961100000000002</v>
      </c>
      <c r="AD111" s="132"/>
    </row>
    <row r="112" spans="5:34" ht="15" customHeight="1" x14ac:dyDescent="0.25">
      <c r="G112" s="311"/>
      <c r="N112" s="470"/>
      <c r="O112" s="112"/>
      <c r="P112" s="113"/>
      <c r="Q112" s="114"/>
      <c r="R112" s="132"/>
      <c r="S112" s="311"/>
      <c r="T112" s="474">
        <v>39692</v>
      </c>
      <c r="U112" s="484">
        <v>134.21485443589359</v>
      </c>
      <c r="V112" s="113">
        <v>126.69049013014875</v>
      </c>
      <c r="W112" s="338">
        <v>96.598632907169289</v>
      </c>
      <c r="X112" s="337">
        <v>83.079166666666637</v>
      </c>
      <c r="Y112" s="674"/>
      <c r="Z112" s="474">
        <v>43344</v>
      </c>
      <c r="AA112" s="699">
        <v>97.785799999999995</v>
      </c>
      <c r="AB112" s="113"/>
      <c r="AC112" s="700">
        <v>70.880600000000001</v>
      </c>
      <c r="AD112" s="132"/>
    </row>
    <row r="113" spans="5:36" ht="15" customHeight="1" x14ac:dyDescent="0.25">
      <c r="G113" s="311"/>
      <c r="N113" s="470"/>
      <c r="O113" s="112"/>
      <c r="P113" s="113"/>
      <c r="Q113" s="114"/>
      <c r="R113" s="132"/>
      <c r="S113" s="311"/>
      <c r="T113" s="474">
        <v>39722</v>
      </c>
      <c r="U113" s="484">
        <v>116.17877419354841</v>
      </c>
      <c r="V113" s="113">
        <v>108.79178709677419</v>
      </c>
      <c r="W113" s="338">
        <v>79.24099354838711</v>
      </c>
      <c r="X113" s="337">
        <v>56.666129032258077</v>
      </c>
      <c r="Y113" s="674"/>
      <c r="Z113" s="474">
        <v>43374</v>
      </c>
      <c r="AA113" s="699">
        <v>102.06140000000002</v>
      </c>
      <c r="AB113" s="113"/>
      <c r="AC113" s="700">
        <v>75.285000000000011</v>
      </c>
      <c r="AD113" s="132"/>
    </row>
    <row r="114" spans="5:36" ht="15" customHeight="1" x14ac:dyDescent="0.25">
      <c r="E114" s="311"/>
      <c r="G114" s="311"/>
      <c r="N114" s="470"/>
      <c r="O114" s="112"/>
      <c r="P114" s="113"/>
      <c r="Q114" s="114"/>
      <c r="R114" s="132"/>
      <c r="S114" s="311"/>
      <c r="T114" s="474">
        <v>39753</v>
      </c>
      <c r="U114" s="484">
        <v>86.897719999999993</v>
      </c>
      <c r="V114" s="113">
        <v>78.704780000000014</v>
      </c>
      <c r="W114" s="338">
        <v>45.937780000000004</v>
      </c>
      <c r="X114" s="337">
        <v>33.36399999999999</v>
      </c>
      <c r="Y114" s="674"/>
      <c r="Z114" s="779">
        <v>43405</v>
      </c>
      <c r="AA114" s="699">
        <v>97.840400000000002</v>
      </c>
      <c r="AB114" s="113"/>
      <c r="AC114" s="700">
        <v>73.308199999999999</v>
      </c>
      <c r="AD114" s="132"/>
    </row>
    <row r="115" spans="5:36" ht="15" customHeight="1" thickBot="1" x14ac:dyDescent="0.3">
      <c r="G115" s="311"/>
      <c r="N115" s="471"/>
      <c r="O115" s="115"/>
      <c r="P115" s="116"/>
      <c r="Q115" s="117"/>
      <c r="R115" s="133"/>
      <c r="S115" s="311"/>
      <c r="T115" s="476">
        <v>39783</v>
      </c>
      <c r="U115" s="485">
        <v>68.260296774193549</v>
      </c>
      <c r="V115" s="116">
        <v>61.878193548387095</v>
      </c>
      <c r="W115" s="339">
        <v>36.352083870967739</v>
      </c>
      <c r="X115" s="343">
        <v>30.112903225806456</v>
      </c>
      <c r="Y115" s="674"/>
      <c r="Z115" s="474">
        <v>43435</v>
      </c>
      <c r="AA115" s="115">
        <v>85.177399999999992</v>
      </c>
      <c r="AB115" s="116"/>
      <c r="AC115" s="117">
        <v>64.642200000000003</v>
      </c>
      <c r="AD115" s="133"/>
    </row>
    <row r="116" spans="5:36" ht="15" customHeight="1" thickBot="1" x14ac:dyDescent="0.3">
      <c r="G116" s="311"/>
      <c r="N116" s="472"/>
      <c r="O116" s="119"/>
      <c r="P116" s="120"/>
      <c r="Q116" s="121"/>
      <c r="R116" s="134"/>
      <c r="S116" s="311"/>
      <c r="T116" s="472" t="s">
        <v>216</v>
      </c>
      <c r="U116" s="340">
        <v>126.38355721066947</v>
      </c>
      <c r="V116" s="263">
        <v>117.11498062702255</v>
      </c>
      <c r="W116" s="121">
        <v>80.042544784238146</v>
      </c>
      <c r="X116" s="262">
        <v>72.585437158470029</v>
      </c>
      <c r="Y116" s="673"/>
      <c r="Z116" s="472" t="s">
        <v>291</v>
      </c>
      <c r="AA116" s="119">
        <v>93.53</v>
      </c>
      <c r="AB116" s="120">
        <f>SUM(AB104:AB115)/7</f>
        <v>0</v>
      </c>
      <c r="AC116" s="121">
        <v>67.64</v>
      </c>
      <c r="AD116" s="134"/>
    </row>
    <row r="117" spans="5:36" ht="15" customHeight="1" thickBot="1" x14ac:dyDescent="0.3">
      <c r="G117" s="311"/>
    </row>
    <row r="118" spans="5:36" ht="15" customHeight="1" x14ac:dyDescent="0.25">
      <c r="G118" s="311"/>
      <c r="N118" s="469"/>
      <c r="O118" s="122"/>
      <c r="P118" s="123"/>
      <c r="Q118" s="124"/>
      <c r="R118" s="135"/>
      <c r="T118" s="473">
        <v>39814</v>
      </c>
      <c r="U118" s="483">
        <v>61.342219354838726</v>
      </c>
      <c r="V118" s="123">
        <v>56.429709677419353</v>
      </c>
      <c r="W118" s="341">
        <v>36.781161290322579</v>
      </c>
      <c r="X118" s="342">
        <v>38.191935483870971</v>
      </c>
      <c r="Y118" s="674"/>
      <c r="Z118" s="473">
        <v>43466</v>
      </c>
      <c r="AA118" s="697">
        <v>79.538200000000003</v>
      </c>
      <c r="AB118" s="123"/>
      <c r="AC118" s="698">
        <v>59.627400000000002</v>
      </c>
      <c r="AD118" s="135"/>
      <c r="AG118" s="821"/>
      <c r="AH118" s="823"/>
      <c r="AI118" s="725"/>
      <c r="AJ118" s="311"/>
    </row>
    <row r="119" spans="5:36" ht="15" customHeight="1" x14ac:dyDescent="0.25">
      <c r="G119" s="311"/>
      <c r="N119" s="470"/>
      <c r="O119" s="112"/>
      <c r="P119" s="113"/>
      <c r="Q119" s="114"/>
      <c r="R119" s="132"/>
      <c r="T119" s="474">
        <v>39845</v>
      </c>
      <c r="U119" s="484">
        <v>60.419400000000003</v>
      </c>
      <c r="V119" s="113">
        <v>57.498899999999999</v>
      </c>
      <c r="W119" s="338">
        <v>45.81315</v>
      </c>
      <c r="X119" s="337">
        <v>40.753571428571426</v>
      </c>
      <c r="Y119" s="674"/>
      <c r="Z119" s="474">
        <v>43497</v>
      </c>
      <c r="AA119" s="699">
        <v>85.658999999999992</v>
      </c>
      <c r="AB119" s="113"/>
      <c r="AC119" s="700">
        <v>69.207599999999999</v>
      </c>
      <c r="AD119" s="132"/>
      <c r="AG119" s="821"/>
      <c r="AH119" s="823"/>
      <c r="AI119" s="725"/>
      <c r="AJ119" s="311"/>
    </row>
    <row r="120" spans="5:36" ht="15" customHeight="1" x14ac:dyDescent="0.25">
      <c r="G120" s="311"/>
      <c r="N120" s="470"/>
      <c r="O120" s="112"/>
      <c r="P120" s="113"/>
      <c r="Q120" s="114"/>
      <c r="R120" s="132"/>
      <c r="T120" s="474">
        <v>39873</v>
      </c>
      <c r="U120" s="484">
        <v>54.271045161290331</v>
      </c>
      <c r="V120" s="113">
        <v>51.9720193548387</v>
      </c>
      <c r="W120" s="338">
        <v>42.777812903225808</v>
      </c>
      <c r="X120" s="337">
        <v>37.786290322580633</v>
      </c>
      <c r="Y120" s="674"/>
      <c r="Z120" s="474">
        <v>43525</v>
      </c>
      <c r="AA120" s="699">
        <v>88.775400000000005</v>
      </c>
      <c r="AB120" s="113"/>
      <c r="AC120" s="700">
        <v>70.3185</v>
      </c>
      <c r="AD120" s="132"/>
      <c r="AG120" s="821"/>
      <c r="AH120" s="823"/>
      <c r="AI120" s="725"/>
      <c r="AJ120" s="311"/>
    </row>
    <row r="121" spans="5:36" ht="15" customHeight="1" x14ac:dyDescent="0.25">
      <c r="G121" s="311"/>
      <c r="N121" s="470"/>
      <c r="O121" s="112"/>
      <c r="P121" s="113"/>
      <c r="Q121" s="114"/>
      <c r="R121" s="132"/>
      <c r="T121" s="474">
        <v>39904</v>
      </c>
      <c r="U121" s="484">
        <v>59.897319999999993</v>
      </c>
      <c r="V121" s="113">
        <v>56.85904</v>
      </c>
      <c r="W121" s="338">
        <v>44.71152</v>
      </c>
      <c r="X121" s="337">
        <v>43.158333333333339</v>
      </c>
      <c r="Y121" s="674"/>
      <c r="Z121" s="474">
        <v>43556</v>
      </c>
      <c r="AA121" s="699">
        <v>89.951400000000007</v>
      </c>
      <c r="AB121" s="113"/>
      <c r="AC121" s="700">
        <v>71.534399999999991</v>
      </c>
      <c r="AD121" s="132"/>
      <c r="AG121" s="821"/>
      <c r="AH121" s="823"/>
      <c r="AI121" s="725"/>
      <c r="AJ121" s="311"/>
    </row>
    <row r="122" spans="5:36" ht="15" customHeight="1" x14ac:dyDescent="0.25">
      <c r="G122" s="311"/>
      <c r="N122" s="470"/>
      <c r="O122" s="112"/>
      <c r="P122" s="113"/>
      <c r="Q122" s="114"/>
      <c r="R122" s="132"/>
      <c r="T122" s="474">
        <v>39934</v>
      </c>
      <c r="U122" s="484">
        <v>61.694883870967743</v>
      </c>
      <c r="V122" s="113">
        <v>59.678206451612894</v>
      </c>
      <c r="W122" s="338">
        <v>51.609193548387097</v>
      </c>
      <c r="X122" s="337">
        <v>52.091935483870976</v>
      </c>
      <c r="Y122" s="674"/>
      <c r="Z122" s="474">
        <v>43586</v>
      </c>
      <c r="AA122" s="699">
        <v>91.919799999999995</v>
      </c>
      <c r="AB122" s="113"/>
      <c r="AC122" s="700">
        <v>70.24499999999999</v>
      </c>
      <c r="AD122" s="132"/>
      <c r="AG122" s="821"/>
      <c r="AH122" s="823"/>
      <c r="AI122" s="725"/>
      <c r="AJ122" s="311"/>
    </row>
    <row r="123" spans="5:36" ht="15" customHeight="1" x14ac:dyDescent="0.25">
      <c r="G123" s="311"/>
      <c r="N123" s="470"/>
      <c r="O123" s="112"/>
      <c r="P123" s="113"/>
      <c r="Q123" s="114"/>
      <c r="R123" s="132"/>
      <c r="T123" s="474">
        <v>39965</v>
      </c>
      <c r="U123" s="484">
        <v>73.18753990230411</v>
      </c>
      <c r="V123" s="113">
        <v>70.736113399469929</v>
      </c>
      <c r="W123" s="338">
        <v>60.929147388133217</v>
      </c>
      <c r="X123" s="337">
        <v>60.18833333333334</v>
      </c>
      <c r="Y123" s="674"/>
      <c r="Z123" s="474">
        <v>43617</v>
      </c>
      <c r="AA123" s="699">
        <v>86.07480000000001</v>
      </c>
      <c r="AB123" s="113"/>
      <c r="AC123" s="700">
        <v>61.561499999999995</v>
      </c>
      <c r="AD123" s="132"/>
      <c r="AG123" s="821"/>
      <c r="AH123" s="823"/>
      <c r="AI123" s="725"/>
      <c r="AJ123" s="311"/>
    </row>
    <row r="124" spans="5:36" ht="15" customHeight="1" x14ac:dyDescent="0.25">
      <c r="G124" s="311"/>
      <c r="N124" s="470"/>
      <c r="O124" s="112"/>
      <c r="P124" s="113"/>
      <c r="Q124" s="114"/>
      <c r="R124" s="132"/>
      <c r="T124" s="474">
        <v>39995</v>
      </c>
      <c r="U124" s="484">
        <v>73.438898255754651</v>
      </c>
      <c r="V124" s="113">
        <v>71.45442233742952</v>
      </c>
      <c r="W124" s="338">
        <v>63.51814447058063</v>
      </c>
      <c r="X124" s="337">
        <v>59.851612903225792</v>
      </c>
      <c r="Y124" s="674"/>
      <c r="Z124" s="474">
        <v>43647</v>
      </c>
      <c r="AA124" s="699">
        <v>84.120399999999989</v>
      </c>
      <c r="AB124" s="113"/>
      <c r="AC124" s="700">
        <v>66.313800000000001</v>
      </c>
      <c r="AD124" s="132"/>
      <c r="AG124" s="821"/>
      <c r="AH124" s="823"/>
      <c r="AI124" s="725"/>
      <c r="AJ124" s="311"/>
    </row>
    <row r="125" spans="5:36" ht="15" customHeight="1" x14ac:dyDescent="0.25">
      <c r="G125" s="311"/>
      <c r="N125" s="470"/>
      <c r="O125" s="112"/>
      <c r="P125" s="113"/>
      <c r="Q125" s="114"/>
      <c r="R125" s="132"/>
      <c r="T125" s="474">
        <v>40026</v>
      </c>
      <c r="U125" s="484">
        <v>78.924503225806447</v>
      </c>
      <c r="V125" s="113">
        <v>76.714761290322585</v>
      </c>
      <c r="W125" s="338">
        <v>67.865903225806463</v>
      </c>
      <c r="X125" s="337">
        <v>66.100806451612897</v>
      </c>
      <c r="Y125" s="674"/>
      <c r="Z125" s="474">
        <v>43678</v>
      </c>
      <c r="AA125" s="699">
        <v>82.833800000000011</v>
      </c>
      <c r="AB125" s="113"/>
      <c r="AC125" s="700">
        <v>55.584199999999996</v>
      </c>
      <c r="AD125" s="132"/>
      <c r="AG125" s="821"/>
      <c r="AH125" s="823"/>
      <c r="AI125" s="725"/>
      <c r="AJ125" s="311"/>
    </row>
    <row r="126" spans="5:36" ht="15" customHeight="1" x14ac:dyDescent="0.25">
      <c r="G126" s="311"/>
      <c r="N126" s="470"/>
      <c r="O126" s="112"/>
      <c r="P126" s="113"/>
      <c r="Q126" s="114"/>
      <c r="R126" s="132"/>
      <c r="T126" s="474">
        <v>40057</v>
      </c>
      <c r="U126" s="484">
        <v>79.070319999999995</v>
      </c>
      <c r="V126" s="113">
        <v>77.28322</v>
      </c>
      <c r="W126" s="338">
        <v>70.141400000000004</v>
      </c>
      <c r="X126" s="337">
        <v>63.980000000000018</v>
      </c>
      <c r="Y126" s="674"/>
      <c r="Z126" s="474">
        <v>43709</v>
      </c>
      <c r="AA126" s="699">
        <v>84.565599999999989</v>
      </c>
      <c r="AB126" s="113"/>
      <c r="AC126" s="700">
        <v>55.442099999999996</v>
      </c>
      <c r="AD126" s="132"/>
      <c r="AG126" s="821"/>
      <c r="AH126" s="823"/>
      <c r="AI126" s="725"/>
      <c r="AJ126" s="311"/>
    </row>
    <row r="127" spans="5:36" ht="15" customHeight="1" x14ac:dyDescent="0.25">
      <c r="G127" s="311"/>
      <c r="N127" s="470"/>
      <c r="O127" s="112"/>
      <c r="P127" s="113"/>
      <c r="Q127" s="114"/>
      <c r="R127" s="132"/>
      <c r="T127" s="474">
        <v>40087</v>
      </c>
      <c r="U127" s="484">
        <v>79.394361290322578</v>
      </c>
      <c r="V127" s="113">
        <v>77.196135483870961</v>
      </c>
      <c r="W127" s="338">
        <v>68.407838709677421</v>
      </c>
      <c r="X127" s="337">
        <v>67.048387096774192</v>
      </c>
      <c r="Y127" s="674"/>
      <c r="Z127" s="779">
        <v>43739</v>
      </c>
      <c r="AA127" s="699">
        <v>86.599800000000002</v>
      </c>
      <c r="AB127" s="113"/>
      <c r="AC127" s="700">
        <v>52.413899999999998</v>
      </c>
      <c r="AD127" s="132"/>
      <c r="AG127" s="821"/>
      <c r="AH127" s="823"/>
      <c r="AI127" s="725"/>
      <c r="AJ127" s="311"/>
    </row>
    <row r="128" spans="5:36" ht="15" customHeight="1" x14ac:dyDescent="0.25">
      <c r="N128" s="470"/>
      <c r="O128" s="112"/>
      <c r="P128" s="113"/>
      <c r="Q128" s="114"/>
      <c r="R128" s="132"/>
      <c r="T128" s="474">
        <v>40118</v>
      </c>
      <c r="U128" s="484">
        <v>87.259479999999996</v>
      </c>
      <c r="V128" s="113">
        <v>84.647079999999988</v>
      </c>
      <c r="W128" s="338">
        <v>74.193280000000016</v>
      </c>
      <c r="X128" s="337">
        <v>70.948333333333309</v>
      </c>
      <c r="Y128" s="674"/>
      <c r="Z128" s="779">
        <v>43770</v>
      </c>
      <c r="AA128" s="699">
        <v>85.13539999999999</v>
      </c>
      <c r="AB128" s="113"/>
      <c r="AC128" s="700">
        <v>43.938299999999998</v>
      </c>
      <c r="AD128" s="132"/>
      <c r="AG128" s="821"/>
      <c r="AH128" s="823"/>
      <c r="AI128" s="725"/>
      <c r="AJ128" s="311"/>
    </row>
    <row r="129" spans="14:37" ht="15" customHeight="1" thickBot="1" x14ac:dyDescent="0.3">
      <c r="N129" s="471"/>
      <c r="O129" s="115"/>
      <c r="P129" s="116"/>
      <c r="Q129" s="117"/>
      <c r="R129" s="133"/>
      <c r="T129" s="476">
        <v>40148</v>
      </c>
      <c r="U129" s="485">
        <v>85.859969655227815</v>
      </c>
      <c r="V129" s="116">
        <v>83.52932652170972</v>
      </c>
      <c r="W129" s="339">
        <v>74.207973342476137</v>
      </c>
      <c r="X129" s="343">
        <v>68.956451612903209</v>
      </c>
      <c r="Y129" s="674"/>
      <c r="Z129" s="474">
        <v>43800</v>
      </c>
      <c r="AA129" s="115">
        <v>84.838600000000014</v>
      </c>
      <c r="AB129" s="116"/>
      <c r="AC129" s="117">
        <v>45.1374</v>
      </c>
      <c r="AD129" s="133"/>
      <c r="AG129" s="821"/>
      <c r="AH129" s="823"/>
      <c r="AI129" s="725"/>
      <c r="AJ129" s="311"/>
    </row>
    <row r="130" spans="14:37" ht="15" customHeight="1" thickBot="1" x14ac:dyDescent="0.3">
      <c r="N130" s="472"/>
      <c r="O130" s="119"/>
      <c r="P130" s="120"/>
      <c r="Q130" s="121"/>
      <c r="R130" s="134"/>
      <c r="T130" s="472" t="s">
        <v>217</v>
      </c>
      <c r="U130" s="340">
        <v>71.279137814546786</v>
      </c>
      <c r="V130" s="263">
        <v>68.717657031828537</v>
      </c>
      <c r="W130" s="121">
        <v>58.471883489996586</v>
      </c>
      <c r="X130" s="262">
        <v>55.836164383561588</v>
      </c>
      <c r="Y130" s="673"/>
      <c r="Z130" s="472" t="s">
        <v>294</v>
      </c>
      <c r="AA130" s="119">
        <v>85.84</v>
      </c>
      <c r="AB130" s="120">
        <f>SUM(AB118:AB129)/7</f>
        <v>0</v>
      </c>
      <c r="AC130" s="121">
        <v>60.11</v>
      </c>
      <c r="AD130" s="134"/>
      <c r="AE130" s="311"/>
      <c r="AF130" s="311"/>
      <c r="AG130" s="821"/>
      <c r="AH130" s="823"/>
      <c r="AI130" s="311"/>
      <c r="AJ130" s="311"/>
      <c r="AK130" s="311"/>
    </row>
    <row r="131" spans="14:37" ht="15" customHeight="1" thickBot="1" x14ac:dyDescent="0.3">
      <c r="N131" s="111"/>
      <c r="O131" s="118"/>
      <c r="P131" s="118"/>
      <c r="Q131" s="118"/>
      <c r="R131" s="118"/>
      <c r="AG131" s="822"/>
      <c r="AH131" s="823"/>
      <c r="AJ131" s="311"/>
    </row>
    <row r="132" spans="14:37" ht="15" customHeight="1" x14ac:dyDescent="0.25">
      <c r="N132" s="469"/>
      <c r="O132" s="122"/>
      <c r="P132" s="123"/>
      <c r="Q132" s="124"/>
      <c r="R132" s="135"/>
      <c r="T132" s="473">
        <v>40179</v>
      </c>
      <c r="U132" s="483">
        <v>90.837600000000009</v>
      </c>
      <c r="V132" s="123">
        <v>87.413109677419357</v>
      </c>
      <c r="W132" s="341">
        <v>75.887090322580647</v>
      </c>
      <c r="X132" s="342">
        <v>71.275806451612894</v>
      </c>
      <c r="Y132" s="674"/>
      <c r="Z132" s="473">
        <v>43831</v>
      </c>
      <c r="AA132" s="697">
        <v>85.771000000000001</v>
      </c>
      <c r="AB132" s="123"/>
      <c r="AC132" s="698">
        <v>51.031400000000005</v>
      </c>
      <c r="AD132" s="135"/>
    </row>
    <row r="133" spans="14:37" ht="15" customHeight="1" x14ac:dyDescent="0.25">
      <c r="N133" s="470"/>
      <c r="O133" s="112"/>
      <c r="P133" s="113"/>
      <c r="Q133" s="114"/>
      <c r="R133" s="132"/>
      <c r="T133" s="475">
        <v>40210</v>
      </c>
      <c r="U133" s="484">
        <v>87.15270000000001</v>
      </c>
      <c r="V133" s="113">
        <v>83.375400000000013</v>
      </c>
      <c r="W133" s="338">
        <v>73.59</v>
      </c>
      <c r="X133" s="337">
        <v>69.608928571428592</v>
      </c>
      <c r="Y133" s="674"/>
      <c r="Z133" s="474">
        <v>43862</v>
      </c>
      <c r="AA133" s="699">
        <v>75.938800000000001</v>
      </c>
      <c r="AB133" s="113"/>
      <c r="AC133" s="700">
        <v>51.996000000000009</v>
      </c>
      <c r="AD133" s="132"/>
    </row>
    <row r="134" spans="14:37" ht="15" customHeight="1" x14ac:dyDescent="0.25">
      <c r="N134" s="470"/>
      <c r="O134" s="112"/>
      <c r="P134" s="113"/>
      <c r="Q134" s="114"/>
      <c r="R134" s="132"/>
      <c r="T134" s="474">
        <v>40238</v>
      </c>
      <c r="U134" s="484">
        <v>91.763225806451615</v>
      </c>
      <c r="V134" s="113">
        <v>86.494122580645154</v>
      </c>
      <c r="W134" s="338">
        <v>75.038148387096783</v>
      </c>
      <c r="X134" s="337">
        <v>69.588709677419359</v>
      </c>
      <c r="Y134" s="674"/>
      <c r="Z134" s="474">
        <v>43891</v>
      </c>
      <c r="AA134" s="699">
        <v>63.653800000000004</v>
      </c>
      <c r="AB134" s="113"/>
      <c r="AC134" s="700">
        <v>41.549199999999999</v>
      </c>
      <c r="AD134" s="132"/>
    </row>
    <row r="135" spans="14:37" ht="15" customHeight="1" x14ac:dyDescent="0.25">
      <c r="N135" s="470"/>
      <c r="O135" s="112"/>
      <c r="P135" s="113"/>
      <c r="Q135" s="114"/>
      <c r="R135" s="132"/>
      <c r="T135" s="474">
        <v>40269</v>
      </c>
      <c r="U135" s="484">
        <v>96.110979999999998</v>
      </c>
      <c r="V135" s="113">
        <v>90.411580000000001</v>
      </c>
      <c r="W135" s="338">
        <v>75.33232000000001</v>
      </c>
      <c r="X135" s="337">
        <v>72.744166666666686</v>
      </c>
      <c r="Y135" s="674"/>
      <c r="Z135" s="474">
        <v>43922</v>
      </c>
      <c r="AA135" s="699">
        <v>45.096450000000004</v>
      </c>
      <c r="AB135" s="113"/>
      <c r="AC135" s="700">
        <v>24.913350000000001</v>
      </c>
      <c r="AD135" s="132"/>
    </row>
    <row r="136" spans="14:37" ht="15" customHeight="1" x14ac:dyDescent="0.25">
      <c r="N136" s="470"/>
      <c r="O136" s="112"/>
      <c r="P136" s="113"/>
      <c r="Q136" s="114"/>
      <c r="R136" s="132"/>
      <c r="T136" s="474">
        <v>40299</v>
      </c>
      <c r="U136" s="484">
        <v>97.382419354838703</v>
      </c>
      <c r="V136" s="113">
        <v>91.233483870967731</v>
      </c>
      <c r="W136" s="338">
        <v>75.93369677419355</v>
      </c>
      <c r="X136" s="337">
        <v>66.795967741935485</v>
      </c>
      <c r="Y136" s="674"/>
      <c r="Z136" s="474">
        <v>43952</v>
      </c>
      <c r="AA136" s="699">
        <v>39.613</v>
      </c>
      <c r="AB136" s="113"/>
      <c r="AC136" s="700">
        <v>25.412800000000004</v>
      </c>
      <c r="AD136" s="132"/>
    </row>
    <row r="137" spans="14:37" ht="15" customHeight="1" x14ac:dyDescent="0.25">
      <c r="N137" s="470"/>
      <c r="O137" s="112"/>
      <c r="P137" s="113"/>
      <c r="Q137" s="114"/>
      <c r="R137" s="132"/>
      <c r="T137" s="474">
        <v>40330</v>
      </c>
      <c r="U137" s="484">
        <v>87.813320000000004</v>
      </c>
      <c r="V137" s="113">
        <v>82.703879999999998</v>
      </c>
      <c r="W137" s="338">
        <v>68.532519999999991</v>
      </c>
      <c r="X137" s="337">
        <v>66.019166666666663</v>
      </c>
      <c r="Y137" s="674"/>
      <c r="Z137" s="474">
        <v>43983</v>
      </c>
      <c r="AA137" s="699">
        <v>46.1188</v>
      </c>
      <c r="AB137" s="113"/>
      <c r="AC137" s="700">
        <v>34.206199999999995</v>
      </c>
      <c r="AD137" s="132"/>
    </row>
    <row r="138" spans="14:37" ht="15" customHeight="1" x14ac:dyDescent="0.25">
      <c r="N138" s="470"/>
      <c r="O138" s="112"/>
      <c r="P138" s="113"/>
      <c r="Q138" s="114"/>
      <c r="R138" s="132"/>
      <c r="T138" s="474">
        <v>40360</v>
      </c>
      <c r="U138" s="484">
        <v>90.479245161290308</v>
      </c>
      <c r="V138" s="113">
        <v>85.023445161290326</v>
      </c>
      <c r="W138" s="338">
        <v>70.86077419354838</v>
      </c>
      <c r="X138" s="337">
        <v>65.989516129032253</v>
      </c>
      <c r="Y138" s="674"/>
      <c r="Z138" s="474">
        <v>44013</v>
      </c>
      <c r="AA138" s="699">
        <v>56.244999999999997</v>
      </c>
      <c r="AB138" s="113"/>
      <c r="AC138" s="700">
        <v>42.413000000000004</v>
      </c>
      <c r="AD138" s="132"/>
    </row>
    <row r="139" spans="14:37" ht="15" customHeight="1" x14ac:dyDescent="0.25">
      <c r="N139" s="470"/>
      <c r="O139" s="112"/>
      <c r="P139" s="113"/>
      <c r="Q139" s="114"/>
      <c r="R139" s="132"/>
      <c r="T139" s="474">
        <v>40391</v>
      </c>
      <c r="U139" s="484">
        <v>92.127541935483876</v>
      </c>
      <c r="V139" s="113">
        <v>86.208387096774175</v>
      </c>
      <c r="W139" s="338">
        <v>72.375754838709682</v>
      </c>
      <c r="X139" s="337">
        <v>66.562096774193535</v>
      </c>
      <c r="Y139" s="674"/>
      <c r="Z139" s="474">
        <v>44044</v>
      </c>
      <c r="AA139" s="699">
        <v>57.60860000000001</v>
      </c>
      <c r="AB139" s="113"/>
      <c r="AC139" s="700">
        <v>45.555999999999997</v>
      </c>
      <c r="AD139" s="132"/>
    </row>
    <row r="140" spans="14:37" ht="15" customHeight="1" x14ac:dyDescent="0.25">
      <c r="N140" s="470"/>
      <c r="O140" s="112"/>
      <c r="P140" s="113"/>
      <c r="Q140" s="114"/>
      <c r="R140" s="132"/>
      <c r="T140" s="474">
        <v>40422</v>
      </c>
      <c r="U140" s="484">
        <v>90.417600000000007</v>
      </c>
      <c r="V140" s="113">
        <v>85.421840000000003</v>
      </c>
      <c r="W140" s="338">
        <v>70.44408</v>
      </c>
      <c r="X140" s="337">
        <v>67.063333333333347</v>
      </c>
      <c r="Y140" s="674"/>
      <c r="Z140" s="474">
        <v>44075</v>
      </c>
      <c r="AA140" s="699">
        <v>54.7134</v>
      </c>
      <c r="AB140" s="113"/>
      <c r="AC140" s="700">
        <v>44.643200000000007</v>
      </c>
      <c r="AD140" s="132"/>
    </row>
    <row r="141" spans="14:37" ht="15" customHeight="1" x14ac:dyDescent="0.25">
      <c r="N141" s="470"/>
      <c r="O141" s="112"/>
      <c r="P141" s="113"/>
      <c r="Q141" s="114"/>
      <c r="R141" s="132"/>
      <c r="T141" s="474">
        <v>40452</v>
      </c>
      <c r="U141" s="484">
        <v>96.120929032258061</v>
      </c>
      <c r="V141" s="113">
        <v>91.132006451612895</v>
      </c>
      <c r="W141" s="338">
        <v>74.268464516129029</v>
      </c>
      <c r="X141" s="337">
        <v>71.432258064516134</v>
      </c>
      <c r="Y141" s="674"/>
      <c r="Z141" s="474">
        <v>44105</v>
      </c>
      <c r="AA141" s="699">
        <v>52.463599999999992</v>
      </c>
      <c r="AB141" s="113"/>
      <c r="AC141" s="700">
        <v>42.452200000000005</v>
      </c>
      <c r="AD141" s="132"/>
    </row>
    <row r="142" spans="14:37" ht="15" customHeight="1" x14ac:dyDescent="0.25">
      <c r="N142" s="470"/>
      <c r="O142" s="112"/>
      <c r="P142" s="113"/>
      <c r="Q142" s="114"/>
      <c r="R142" s="132"/>
      <c r="T142" s="474">
        <v>40483</v>
      </c>
      <c r="U142" s="484">
        <v>100.59994</v>
      </c>
      <c r="V142" s="113">
        <v>95.234719999999996</v>
      </c>
      <c r="W142" s="338">
        <v>76.889260000000007</v>
      </c>
      <c r="X142" s="337">
        <v>72.301999999999992</v>
      </c>
      <c r="Y142" s="674"/>
      <c r="Z142" s="474">
        <v>44136</v>
      </c>
      <c r="AA142" s="699">
        <v>53.898599999999995</v>
      </c>
      <c r="AB142" s="113"/>
      <c r="AC142" s="700">
        <v>43.636600000000008</v>
      </c>
      <c r="AD142" s="132"/>
    </row>
    <row r="143" spans="14:37" ht="15" customHeight="1" thickBot="1" x14ac:dyDescent="0.3">
      <c r="N143" s="471"/>
      <c r="O143" s="115"/>
      <c r="P143" s="116"/>
      <c r="Q143" s="117"/>
      <c r="R143" s="133"/>
      <c r="T143" s="474">
        <v>40513</v>
      </c>
      <c r="U143" s="485">
        <v>103.22827741935484</v>
      </c>
      <c r="V143" s="116">
        <v>97.835206451612905</v>
      </c>
      <c r="W143" s="339">
        <v>78.026380645161296</v>
      </c>
      <c r="X143" s="343">
        <v>75.725161290322575</v>
      </c>
      <c r="Y143" s="674"/>
      <c r="Z143" s="476">
        <v>44166</v>
      </c>
      <c r="AA143" s="115">
        <v>63.929600000000001</v>
      </c>
      <c r="AB143" s="116"/>
      <c r="AC143" s="117">
        <v>49.078400000000002</v>
      </c>
      <c r="AD143" s="133"/>
    </row>
    <row r="144" spans="14:37" ht="15" customHeight="1" thickBot="1" x14ac:dyDescent="0.3">
      <c r="N144" s="472"/>
      <c r="O144" s="119"/>
      <c r="P144" s="120"/>
      <c r="Q144" s="121"/>
      <c r="R144" s="134"/>
      <c r="T144" s="472" t="s">
        <v>226</v>
      </c>
      <c r="U144" s="340">
        <v>92.240929315068499</v>
      </c>
      <c r="V144" s="263">
        <v>88.584121643835601</v>
      </c>
      <c r="W144" s="121">
        <v>73.946753424657544</v>
      </c>
      <c r="X144" s="262">
        <v>69.592780821917856</v>
      </c>
      <c r="Y144" s="673"/>
      <c r="Z144" s="472" t="s">
        <v>304</v>
      </c>
      <c r="AA144" s="119">
        <v>57.92</v>
      </c>
      <c r="AB144" s="120">
        <f>SUM(AB132:AB143)/7</f>
        <v>0</v>
      </c>
      <c r="AC144" s="121">
        <v>41.41</v>
      </c>
      <c r="AD144" s="134"/>
      <c r="AE144" s="311"/>
      <c r="AF144" s="311"/>
      <c r="AG144" s="311"/>
      <c r="AH144" s="311"/>
      <c r="AI144" s="311"/>
      <c r="AJ144" s="311"/>
      <c r="AK144" s="311"/>
    </row>
    <row r="146" spans="21:23" ht="15" customHeight="1" x14ac:dyDescent="0.25">
      <c r="U146" s="311"/>
      <c r="V146" s="311"/>
      <c r="W146" s="311"/>
    </row>
    <row r="147" spans="21:23" ht="15" customHeight="1" x14ac:dyDescent="0.25">
      <c r="U147" s="311"/>
      <c r="V147" s="311"/>
      <c r="W147" s="311"/>
    </row>
    <row r="148" spans="21:23" ht="15" customHeight="1" x14ac:dyDescent="0.25">
      <c r="U148" s="311"/>
      <c r="V148" s="311"/>
      <c r="W148" s="311"/>
    </row>
    <row r="149" spans="21:23" ht="15" customHeight="1" x14ac:dyDescent="0.25">
      <c r="U149" s="311"/>
      <c r="V149" s="311"/>
      <c r="W149" s="311"/>
    </row>
    <row r="150" spans="21:23" ht="15" customHeight="1" x14ac:dyDescent="0.25">
      <c r="U150" s="311"/>
      <c r="V150" s="311"/>
      <c r="W150" s="311"/>
    </row>
    <row r="151" spans="21:23" ht="15" customHeight="1" x14ac:dyDescent="0.25">
      <c r="U151" s="311"/>
      <c r="V151" s="311"/>
      <c r="W151" s="311"/>
    </row>
    <row r="152" spans="21:23" ht="15" customHeight="1" x14ac:dyDescent="0.25">
      <c r="U152" s="311"/>
      <c r="V152" s="311"/>
      <c r="W152" s="311"/>
    </row>
    <row r="153" spans="21:23" ht="15" customHeight="1" x14ac:dyDescent="0.25">
      <c r="U153" s="311"/>
      <c r="V153" s="311"/>
      <c r="W153" s="311"/>
    </row>
    <row r="154" spans="21:23" ht="15" customHeight="1" x14ac:dyDescent="0.25">
      <c r="U154" s="311"/>
      <c r="V154" s="311"/>
      <c r="W154" s="311"/>
    </row>
    <row r="155" spans="21:23" ht="15" customHeight="1" x14ac:dyDescent="0.25">
      <c r="U155" s="311"/>
      <c r="V155" s="311"/>
      <c r="W155" s="311"/>
    </row>
    <row r="156" spans="21:23" ht="15" customHeight="1" x14ac:dyDescent="0.25">
      <c r="U156" s="311"/>
      <c r="V156" s="311"/>
      <c r="W156" s="311"/>
    </row>
    <row r="157" spans="21:23" ht="15" customHeight="1" x14ac:dyDescent="0.25">
      <c r="U157" s="311"/>
      <c r="V157" s="311"/>
      <c r="W157" s="311"/>
    </row>
    <row r="159" spans="21:23" ht="15" customHeight="1" x14ac:dyDescent="0.25">
      <c r="U159" s="311"/>
      <c r="V159" s="311"/>
      <c r="W159" s="311"/>
    </row>
    <row r="160" spans="21:23" ht="15" customHeight="1" x14ac:dyDescent="0.25">
      <c r="U160" s="311"/>
      <c r="V160" s="311"/>
      <c r="W160" s="311"/>
    </row>
  </sheetData>
  <mergeCells count="8">
    <mergeCell ref="AF3:AJ3"/>
    <mergeCell ref="N2:AJ2"/>
    <mergeCell ref="B4:L4"/>
    <mergeCell ref="N3:R3"/>
    <mergeCell ref="T3:X3"/>
    <mergeCell ref="B2:L2"/>
    <mergeCell ref="B3:L3"/>
    <mergeCell ref="Z3:AD3"/>
  </mergeCells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L65"/>
  <sheetViews>
    <sheetView workbookViewId="0">
      <selection activeCell="N21" sqref="N21"/>
    </sheetView>
  </sheetViews>
  <sheetFormatPr baseColWidth="10" defaultColWidth="10.6640625" defaultRowHeight="15" customHeight="1" x14ac:dyDescent="0.25"/>
  <cols>
    <col min="1" max="1" width="2.6640625" style="94" customWidth="1"/>
    <col min="2" max="8" width="10.6640625" style="94" customWidth="1"/>
    <col min="9" max="9" width="20" style="94" customWidth="1"/>
    <col min="10" max="10" width="10.6640625" style="94" customWidth="1"/>
    <col min="11" max="11" width="2.6640625" style="94" customWidth="1"/>
    <col min="12" max="12" width="10.6640625" style="94" customWidth="1"/>
    <col min="13" max="17" width="15.6640625" style="94" customWidth="1"/>
    <col min="18" max="18" width="15.6640625" style="244" customWidth="1"/>
    <col min="19" max="22" width="15.6640625" style="94" customWidth="1"/>
    <col min="23" max="23" width="15.6640625" style="244" customWidth="1"/>
    <col min="24" max="24" width="13.5546875" style="94" bestFit="1" customWidth="1"/>
    <col min="25" max="25" width="10.6640625" style="94"/>
    <col min="26" max="26" width="12.88671875" style="94" customWidth="1"/>
    <col min="27" max="27" width="14.109375" style="94" customWidth="1"/>
    <col min="28" max="16384" width="10.6640625" style="94"/>
  </cols>
  <sheetData>
    <row r="1" spans="2:37" ht="15" customHeight="1" x14ac:dyDescent="0.25">
      <c r="B1" s="865" t="s">
        <v>173</v>
      </c>
      <c r="C1" s="865"/>
      <c r="D1" s="865"/>
      <c r="E1" s="865"/>
      <c r="F1" s="865"/>
      <c r="G1" s="865"/>
      <c r="H1" s="865"/>
      <c r="I1" s="865"/>
      <c r="J1" s="865"/>
      <c r="X1" s="220"/>
    </row>
    <row r="2" spans="2:37" ht="15" customHeight="1" x14ac:dyDescent="0.25">
      <c r="B2" s="865" t="s">
        <v>174</v>
      </c>
      <c r="C2" s="865"/>
      <c r="D2" s="865"/>
      <c r="E2" s="865"/>
      <c r="F2" s="865"/>
      <c r="G2" s="865"/>
      <c r="H2" s="865"/>
      <c r="I2" s="865"/>
      <c r="J2" s="865"/>
      <c r="X2" s="221"/>
    </row>
    <row r="3" spans="2:37" ht="15" customHeight="1" thickBot="1" x14ac:dyDescent="0.3">
      <c r="B3" s="844" t="s">
        <v>313</v>
      </c>
      <c r="C3" s="844"/>
      <c r="D3" s="844"/>
      <c r="E3" s="844"/>
      <c r="F3" s="844"/>
      <c r="G3" s="844"/>
      <c r="H3" s="844"/>
      <c r="I3" s="844"/>
      <c r="J3" s="844"/>
      <c r="X3" s="222"/>
    </row>
    <row r="4" spans="2:37" s="223" customFormat="1" ht="15" customHeight="1" thickBot="1" x14ac:dyDescent="0.3">
      <c r="L4" s="869" t="s">
        <v>169</v>
      </c>
      <c r="M4" s="870"/>
      <c r="N4" s="870"/>
      <c r="O4" s="870"/>
      <c r="P4" s="870"/>
      <c r="Q4" s="870"/>
      <c r="R4" s="869" t="s">
        <v>167</v>
      </c>
      <c r="S4" s="870"/>
      <c r="T4" s="870"/>
      <c r="U4" s="870"/>
      <c r="V4" s="871"/>
      <c r="W4" s="224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</row>
    <row r="5" spans="2:37" ht="15" customHeight="1" thickBot="1" x14ac:dyDescent="0.3">
      <c r="L5" s="221"/>
      <c r="M5" s="221"/>
      <c r="N5" s="221"/>
      <c r="O5" s="221"/>
      <c r="P5" s="221"/>
      <c r="Q5" s="221"/>
      <c r="R5" s="245"/>
      <c r="S5" s="221"/>
      <c r="T5" s="221"/>
      <c r="U5" s="221"/>
      <c r="V5" s="221"/>
      <c r="W5" s="245"/>
      <c r="Y5"/>
      <c r="Z5"/>
      <c r="AA5"/>
      <c r="AB5"/>
      <c r="AC5"/>
      <c r="AD5" s="232"/>
      <c r="AE5" s="232"/>
      <c r="AF5" s="232"/>
      <c r="AG5" s="232"/>
      <c r="AH5" s="232"/>
      <c r="AI5" s="232"/>
      <c r="AJ5" s="232"/>
      <c r="AK5" s="232"/>
    </row>
    <row r="6" spans="2:37" ht="35.25" customHeight="1" x14ac:dyDescent="0.25">
      <c r="L6" s="872" t="s">
        <v>100</v>
      </c>
      <c r="M6" s="879" t="s">
        <v>170</v>
      </c>
      <c r="N6" s="880"/>
      <c r="O6" s="880"/>
      <c r="P6" s="880"/>
      <c r="Q6" s="881"/>
      <c r="R6" s="866" t="s">
        <v>168</v>
      </c>
      <c r="S6" s="867"/>
      <c r="T6" s="867"/>
      <c r="U6" s="867"/>
      <c r="V6" s="868"/>
      <c r="W6"/>
      <c r="X6"/>
      <c r="Y6"/>
      <c r="Z6"/>
      <c r="AA6"/>
      <c r="AB6"/>
      <c r="AC6"/>
      <c r="AD6" s="232"/>
      <c r="AE6" s="232"/>
      <c r="AF6" s="232"/>
      <c r="AG6" s="232"/>
      <c r="AH6" s="232"/>
      <c r="AI6" s="232"/>
      <c r="AJ6" s="232"/>
    </row>
    <row r="7" spans="2:37" ht="15" customHeight="1" x14ac:dyDescent="0.25">
      <c r="L7" s="873"/>
      <c r="M7" s="885" t="s">
        <v>171</v>
      </c>
      <c r="N7" s="875" t="s">
        <v>172</v>
      </c>
      <c r="O7" s="875" t="s">
        <v>176</v>
      </c>
      <c r="P7" s="875" t="s">
        <v>78</v>
      </c>
      <c r="Q7" s="883" t="s">
        <v>175</v>
      </c>
      <c r="R7" s="885" t="s">
        <v>53</v>
      </c>
      <c r="S7" s="875" t="s">
        <v>123</v>
      </c>
      <c r="T7" s="875" t="s">
        <v>79</v>
      </c>
      <c r="U7" s="875" t="s">
        <v>78</v>
      </c>
      <c r="V7" s="877" t="s">
        <v>175</v>
      </c>
      <c r="W7"/>
      <c r="X7"/>
      <c r="Y7"/>
      <c r="Z7"/>
      <c r="AA7"/>
      <c r="AB7"/>
      <c r="AC7"/>
      <c r="AD7" s="232"/>
      <c r="AE7" s="232"/>
      <c r="AF7" s="232"/>
      <c r="AG7" s="232"/>
      <c r="AH7" s="232"/>
      <c r="AI7" s="232"/>
      <c r="AJ7" s="232"/>
    </row>
    <row r="8" spans="2:37" ht="15" customHeight="1" thickBot="1" x14ac:dyDescent="0.3">
      <c r="L8" s="874"/>
      <c r="M8" s="886"/>
      <c r="N8" s="876"/>
      <c r="O8" s="876"/>
      <c r="P8" s="876"/>
      <c r="Q8" s="884"/>
      <c r="R8" s="886"/>
      <c r="S8" s="876"/>
      <c r="T8" s="876"/>
      <c r="U8" s="876"/>
      <c r="V8" s="878"/>
      <c r="W8"/>
      <c r="X8"/>
      <c r="Y8"/>
      <c r="Z8"/>
      <c r="AA8"/>
      <c r="AB8"/>
      <c r="AC8"/>
      <c r="AD8" s="232"/>
      <c r="AE8" s="232"/>
      <c r="AF8" s="232"/>
      <c r="AG8" s="232"/>
      <c r="AH8" s="232"/>
      <c r="AI8" s="232"/>
      <c r="AJ8" s="232"/>
    </row>
    <row r="9" spans="2:37" ht="15" customHeight="1" x14ac:dyDescent="0.25">
      <c r="L9" s="536"/>
      <c r="M9" s="254"/>
      <c r="N9" s="255"/>
      <c r="O9" s="255"/>
      <c r="P9" s="255"/>
      <c r="Q9" s="256"/>
      <c r="R9" s="654"/>
      <c r="S9" s="333"/>
      <c r="T9" s="333"/>
      <c r="U9" s="334"/>
      <c r="V9" s="336"/>
      <c r="W9"/>
      <c r="X9" s="691"/>
      <c r="Y9" s="691"/>
      <c r="Z9" s="691"/>
      <c r="AA9"/>
      <c r="AB9"/>
      <c r="AC9"/>
      <c r="AD9" s="232"/>
      <c r="AE9" s="232"/>
      <c r="AF9" s="232"/>
      <c r="AG9" s="232"/>
      <c r="AH9" s="232"/>
      <c r="AI9" s="232"/>
      <c r="AJ9" s="232"/>
    </row>
    <row r="10" spans="2:37" ht="15" customHeight="1" x14ac:dyDescent="0.25">
      <c r="L10" s="537">
        <v>44197</v>
      </c>
      <c r="M10" s="238">
        <v>12042650</v>
      </c>
      <c r="N10" s="225">
        <v>5612488</v>
      </c>
      <c r="O10" s="225">
        <v>23443449</v>
      </c>
      <c r="P10" s="225">
        <f>+M10+N10+O10</f>
        <v>41098587</v>
      </c>
      <c r="Q10" s="246">
        <f>P10/(P10+U10)</f>
        <v>0.97013589756451402</v>
      </c>
      <c r="R10" s="694">
        <v>1243334.8147919993</v>
      </c>
      <c r="S10" s="695">
        <v>21820.319867999984</v>
      </c>
      <c r="T10" s="225"/>
      <c r="U10" s="461">
        <f>+R10+S10</f>
        <v>1265155.1346599993</v>
      </c>
      <c r="V10" s="251">
        <f>U10/(P10+U10)</f>
        <v>2.986410243548597E-2</v>
      </c>
      <c r="W10" s="331"/>
      <c r="X10" s="691"/>
      <c r="Y10" s="691"/>
      <c r="Z10" s="691"/>
      <c r="AA10" s="691"/>
      <c r="AB10" s="691"/>
      <c r="AC10" s="691"/>
      <c r="AD10" s="692"/>
      <c r="AE10" s="232"/>
      <c r="AF10" s="232"/>
      <c r="AG10" s="232"/>
      <c r="AH10" s="232"/>
      <c r="AI10" s="232"/>
      <c r="AJ10" s="232"/>
    </row>
    <row r="11" spans="2:37" ht="15" customHeight="1" x14ac:dyDescent="0.25">
      <c r="L11" s="537">
        <v>44228</v>
      </c>
      <c r="M11" s="238">
        <v>14804314</v>
      </c>
      <c r="N11" s="225">
        <v>6543629</v>
      </c>
      <c r="O11" s="225">
        <v>26422326</v>
      </c>
      <c r="P11" s="225">
        <f t="shared" ref="P11:P21" si="0">+M11+N11+O11</f>
        <v>47770269</v>
      </c>
      <c r="Q11" s="246">
        <f t="shared" ref="Q11:Q24" si="1">P11/(P11+U11)</f>
        <v>0.95449563610560029</v>
      </c>
      <c r="R11" s="694">
        <v>2234343.2747999998</v>
      </c>
      <c r="S11" s="695">
        <v>43043.463999999993</v>
      </c>
      <c r="T11" s="225"/>
      <c r="U11" s="461">
        <f t="shared" ref="U11:U21" si="2">+R11+S11</f>
        <v>2277386.7387999999</v>
      </c>
      <c r="V11" s="251">
        <f t="shared" ref="V11:V24" si="3">U11/(P11+U11)</f>
        <v>4.5504363894399769E-2</v>
      </c>
      <c r="W11"/>
      <c r="X11" s="691"/>
      <c r="Y11" s="691"/>
      <c r="Z11" s="691"/>
      <c r="AA11" s="691"/>
      <c r="AB11" s="691"/>
      <c r="AC11" s="691"/>
      <c r="AD11" s="692"/>
      <c r="AE11" s="232"/>
      <c r="AF11" s="232"/>
      <c r="AG11" s="232"/>
      <c r="AH11" s="232"/>
      <c r="AI11" s="232"/>
      <c r="AJ11" s="232"/>
    </row>
    <row r="12" spans="2:37" ht="15" customHeight="1" x14ac:dyDescent="0.25">
      <c r="L12" s="537">
        <v>44256</v>
      </c>
      <c r="M12" s="238">
        <v>19062372</v>
      </c>
      <c r="N12" s="225">
        <v>8251328</v>
      </c>
      <c r="O12" s="225">
        <v>31234323</v>
      </c>
      <c r="P12" s="225">
        <f t="shared" si="0"/>
        <v>58548023</v>
      </c>
      <c r="Q12" s="246">
        <f t="shared" si="1"/>
        <v>0.9536565710169852</v>
      </c>
      <c r="R12" s="694">
        <v>2786090.95842</v>
      </c>
      <c r="S12" s="695">
        <v>59080.173891199993</v>
      </c>
      <c r="T12" s="225"/>
      <c r="U12" s="461">
        <f t="shared" si="2"/>
        <v>2845171.1323112003</v>
      </c>
      <c r="V12" s="251">
        <f t="shared" si="3"/>
        <v>4.6343428983014717E-2</v>
      </c>
      <c r="W12"/>
      <c r="X12" s="691"/>
      <c r="Y12" s="691"/>
      <c r="Z12" s="691"/>
      <c r="AA12" s="691"/>
      <c r="AB12" s="691"/>
      <c r="AC12" s="691"/>
      <c r="AD12" s="692"/>
      <c r="AE12" s="232"/>
      <c r="AF12" s="232"/>
      <c r="AG12" s="232"/>
      <c r="AH12" s="232"/>
      <c r="AI12" s="232"/>
      <c r="AJ12" s="232"/>
    </row>
    <row r="13" spans="2:37" ht="15" customHeight="1" x14ac:dyDescent="0.25">
      <c r="L13" s="537">
        <v>44287</v>
      </c>
      <c r="M13" s="238">
        <v>18319283.899999999</v>
      </c>
      <c r="N13" s="225">
        <v>7829975.7000000002</v>
      </c>
      <c r="O13" s="225">
        <v>29958790</v>
      </c>
      <c r="P13" s="225">
        <f t="shared" si="0"/>
        <v>56108049.599999994</v>
      </c>
      <c r="Q13" s="246">
        <f t="shared" si="1"/>
        <v>0.97796496609868466</v>
      </c>
      <c r="R13" s="694">
        <v>1219210.4976240001</v>
      </c>
      <c r="S13" s="695">
        <v>44988.955250800005</v>
      </c>
      <c r="T13" s="225"/>
      <c r="U13" s="461">
        <f t="shared" si="2"/>
        <v>1264199.4528748002</v>
      </c>
      <c r="V13" s="251">
        <f t="shared" si="3"/>
        <v>2.2035033901315289E-2</v>
      </c>
      <c r="W13"/>
      <c r="X13" s="691"/>
      <c r="Y13" s="691"/>
      <c r="Z13" s="691"/>
      <c r="AA13" s="691"/>
      <c r="AB13" s="691"/>
      <c r="AC13" s="691"/>
      <c r="AD13" s="692"/>
      <c r="AE13" s="232"/>
      <c r="AF13" s="232"/>
      <c r="AG13" s="232"/>
      <c r="AH13" s="232"/>
      <c r="AI13" s="232"/>
      <c r="AJ13" s="232"/>
    </row>
    <row r="14" spans="2:37" ht="15" customHeight="1" x14ac:dyDescent="0.25">
      <c r="L14" s="537">
        <v>44317</v>
      </c>
      <c r="M14" s="238">
        <v>18408225</v>
      </c>
      <c r="N14" s="225">
        <v>7986930</v>
      </c>
      <c r="O14" s="225">
        <v>28185291</v>
      </c>
      <c r="P14" s="225">
        <f t="shared" si="0"/>
        <v>54580446</v>
      </c>
      <c r="Q14" s="246">
        <f t="shared" si="1"/>
        <v>0.97672858653305528</v>
      </c>
      <c r="R14" s="694">
        <v>1270355.3400300001</v>
      </c>
      <c r="S14" s="695">
        <v>30071.558075599998</v>
      </c>
      <c r="T14" s="225"/>
      <c r="U14" s="461">
        <f t="shared" si="2"/>
        <v>1300426.8981056002</v>
      </c>
      <c r="V14" s="251">
        <f t="shared" si="3"/>
        <v>2.3271413466944706E-2</v>
      </c>
      <c r="W14"/>
      <c r="X14" s="691"/>
      <c r="Y14" s="691"/>
      <c r="Z14" s="691"/>
      <c r="AA14" s="691"/>
      <c r="AB14" s="691"/>
      <c r="AC14" s="691"/>
      <c r="AD14" s="692"/>
      <c r="AE14" s="232"/>
      <c r="AF14" s="232"/>
      <c r="AG14" s="232"/>
      <c r="AH14" s="232"/>
      <c r="AI14" s="232"/>
      <c r="AJ14" s="232"/>
    </row>
    <row r="15" spans="2:37" ht="15" customHeight="1" x14ac:dyDescent="0.25">
      <c r="L15" s="537">
        <v>44348</v>
      </c>
      <c r="M15" s="238">
        <v>18130754</v>
      </c>
      <c r="N15" s="225">
        <v>8177517</v>
      </c>
      <c r="O15" s="225">
        <v>28572147</v>
      </c>
      <c r="P15" s="225">
        <f>+M15+N15+O15</f>
        <v>54880418</v>
      </c>
      <c r="Q15" s="246">
        <f t="shared" si="1"/>
        <v>0.98034064181216385</v>
      </c>
      <c r="R15" s="694">
        <v>1045255.49541</v>
      </c>
      <c r="S15" s="695">
        <v>55294.404230799999</v>
      </c>
      <c r="T15" s="225"/>
      <c r="U15" s="461">
        <f t="shared" si="2"/>
        <v>1100549.8996408</v>
      </c>
      <c r="V15" s="251">
        <f t="shared" si="3"/>
        <v>1.9659358187836221E-2</v>
      </c>
      <c r="W15"/>
      <c r="X15" s="691"/>
      <c r="Y15" s="691"/>
      <c r="Z15" s="691"/>
      <c r="AA15" s="691"/>
      <c r="AB15" s="691"/>
      <c r="AC15" s="691"/>
      <c r="AD15" s="692"/>
      <c r="AE15" s="232"/>
      <c r="AF15" s="232"/>
      <c r="AG15" s="232"/>
      <c r="AH15" s="232"/>
      <c r="AI15" s="232"/>
      <c r="AJ15" s="232"/>
    </row>
    <row r="16" spans="2:37" ht="15" customHeight="1" x14ac:dyDescent="0.25">
      <c r="L16" s="537">
        <v>44378</v>
      </c>
      <c r="M16" s="238">
        <v>18035805</v>
      </c>
      <c r="N16" s="225">
        <v>8012454</v>
      </c>
      <c r="O16" s="225">
        <v>28433049</v>
      </c>
      <c r="P16" s="225">
        <f t="shared" si="0"/>
        <v>54481308</v>
      </c>
      <c r="Q16" s="246">
        <f t="shared" si="1"/>
        <v>0.97940247740275532</v>
      </c>
      <c r="R16" s="694">
        <v>1095215.7805260001</v>
      </c>
      <c r="S16" s="695">
        <v>50564.425823200007</v>
      </c>
      <c r="T16" s="225"/>
      <c r="U16" s="461">
        <f t="shared" si="2"/>
        <v>1145780.2063492001</v>
      </c>
      <c r="V16" s="251">
        <f t="shared" si="3"/>
        <v>2.059752259724467E-2</v>
      </c>
      <c r="W16"/>
      <c r="X16" s="691"/>
      <c r="Y16" s="691"/>
      <c r="Z16" s="691"/>
      <c r="AA16" s="691"/>
      <c r="AB16" s="691"/>
      <c r="AC16" s="691"/>
      <c r="AD16" s="692"/>
      <c r="AE16" s="232"/>
      <c r="AF16" s="232"/>
      <c r="AG16" s="232"/>
      <c r="AH16" s="232"/>
      <c r="AI16" s="232"/>
      <c r="AJ16" s="232"/>
    </row>
    <row r="17" spans="12:38" ht="15" customHeight="1" x14ac:dyDescent="0.25">
      <c r="L17" s="537">
        <v>44409</v>
      </c>
      <c r="M17" s="238">
        <v>18740908</v>
      </c>
      <c r="N17" s="225">
        <v>8310793</v>
      </c>
      <c r="O17" s="225">
        <v>28419320</v>
      </c>
      <c r="P17" s="225">
        <f t="shared" si="0"/>
        <v>55471021</v>
      </c>
      <c r="Q17" s="246">
        <f t="shared" si="1"/>
        <v>0.98232178729039632</v>
      </c>
      <c r="R17" s="694">
        <v>972319.44421079999</v>
      </c>
      <c r="S17" s="695">
        <v>25956.804106800002</v>
      </c>
      <c r="T17" s="225"/>
      <c r="U17" s="461">
        <f t="shared" si="2"/>
        <v>998276.2483176</v>
      </c>
      <c r="V17" s="251">
        <f t="shared" si="3"/>
        <v>1.7678212709603746E-2</v>
      </c>
      <c r="W17"/>
      <c r="X17" s="691"/>
      <c r="Y17" s="691"/>
      <c r="Z17" s="691"/>
      <c r="AA17" s="691"/>
      <c r="AB17" s="691"/>
      <c r="AC17" s="691"/>
      <c r="AD17" s="692"/>
      <c r="AE17" s="232"/>
      <c r="AF17" s="232"/>
      <c r="AG17" s="232"/>
      <c r="AH17" s="232"/>
      <c r="AI17" s="232"/>
      <c r="AJ17" s="232"/>
    </row>
    <row r="18" spans="12:38" ht="15" customHeight="1" x14ac:dyDescent="0.25">
      <c r="L18" s="537">
        <v>44440</v>
      </c>
      <c r="M18" s="238">
        <v>18803888</v>
      </c>
      <c r="N18" s="225">
        <v>8278747</v>
      </c>
      <c r="O18" s="225">
        <v>29063255</v>
      </c>
      <c r="P18" s="225">
        <f t="shared" si="0"/>
        <v>56145890</v>
      </c>
      <c r="Q18" s="246">
        <f t="shared" si="1"/>
        <v>0.97180722862160274</v>
      </c>
      <c r="R18" s="694">
        <v>1469903.573787601</v>
      </c>
      <c r="S18" s="695">
        <v>158925.88331760006</v>
      </c>
      <c r="T18" s="225"/>
      <c r="U18" s="461">
        <f t="shared" si="2"/>
        <v>1628829.457105201</v>
      </c>
      <c r="V18" s="251">
        <f t="shared" si="3"/>
        <v>2.8192771378397156E-2</v>
      </c>
      <c r="W18"/>
      <c r="X18" s="691"/>
      <c r="Y18" s="691"/>
      <c r="Z18" s="691"/>
      <c r="AA18" s="691"/>
      <c r="AB18" s="691"/>
      <c r="AC18" s="691"/>
      <c r="AD18" s="692"/>
      <c r="AE18" s="232"/>
      <c r="AF18" s="232"/>
      <c r="AG18" s="232"/>
      <c r="AH18" s="232"/>
      <c r="AI18" s="232"/>
      <c r="AJ18" s="232"/>
    </row>
    <row r="19" spans="12:38" ht="15" customHeight="1" x14ac:dyDescent="0.25">
      <c r="L19" s="537">
        <v>44470</v>
      </c>
      <c r="M19" s="238">
        <v>19430021</v>
      </c>
      <c r="N19" s="225">
        <v>8585473</v>
      </c>
      <c r="O19" s="225">
        <v>29637043</v>
      </c>
      <c r="P19" s="225">
        <f t="shared" si="0"/>
        <v>57652537</v>
      </c>
      <c r="Q19" s="246">
        <f t="shared" si="1"/>
        <v>0.96468565812371598</v>
      </c>
      <c r="R19" s="694">
        <v>1725651.9379260014</v>
      </c>
      <c r="S19" s="695">
        <v>384840.10112120019</v>
      </c>
      <c r="T19" s="225"/>
      <c r="U19" s="461">
        <f t="shared" si="2"/>
        <v>2110492.0390472016</v>
      </c>
      <c r="V19" s="251">
        <f t="shared" si="3"/>
        <v>3.5314341876284003E-2</v>
      </c>
      <c r="W19"/>
      <c r="X19" s="691"/>
      <c r="Y19" s="691"/>
      <c r="Z19" s="691"/>
      <c r="AA19" s="691"/>
      <c r="AB19" s="691"/>
      <c r="AC19" s="691"/>
      <c r="AD19" s="692"/>
      <c r="AE19" s="232"/>
      <c r="AF19" s="232"/>
      <c r="AG19" s="232"/>
      <c r="AH19" s="232"/>
      <c r="AI19" s="232"/>
      <c r="AJ19" s="232"/>
    </row>
    <row r="20" spans="12:38" ht="15" customHeight="1" x14ac:dyDescent="0.25">
      <c r="L20" s="537">
        <v>44501</v>
      </c>
      <c r="M20" s="238">
        <v>17894793</v>
      </c>
      <c r="N20" s="225">
        <v>7771902</v>
      </c>
      <c r="O20" s="225">
        <v>26606597</v>
      </c>
      <c r="P20" s="225">
        <f t="shared" si="0"/>
        <v>52273292</v>
      </c>
      <c r="Q20" s="246">
        <f t="shared" si="1"/>
        <v>0.93064836962536002</v>
      </c>
      <c r="R20" s="694">
        <v>3788522.2875107988</v>
      </c>
      <c r="S20" s="695">
        <v>106867.36079319997</v>
      </c>
      <c r="T20" s="225"/>
      <c r="U20" s="461">
        <f t="shared" si="2"/>
        <v>3895389.6483039986</v>
      </c>
      <c r="V20" s="251">
        <f t="shared" si="3"/>
        <v>6.93516303746399E-2</v>
      </c>
      <c r="W20"/>
      <c r="X20" s="691"/>
      <c r="Y20" s="691"/>
      <c r="Z20" s="691"/>
      <c r="AA20" s="691"/>
      <c r="AB20" s="691"/>
      <c r="AC20" s="691"/>
      <c r="AD20" s="692"/>
      <c r="AE20" s="232"/>
      <c r="AF20" s="232"/>
      <c r="AG20" s="232"/>
      <c r="AH20" s="232"/>
      <c r="AI20" s="232"/>
      <c r="AJ20" s="232"/>
    </row>
    <row r="21" spans="12:38" ht="15" customHeight="1" x14ac:dyDescent="0.25">
      <c r="L21" s="537">
        <v>44531</v>
      </c>
      <c r="M21" s="238">
        <v>21746249</v>
      </c>
      <c r="N21" s="225">
        <v>9437788</v>
      </c>
      <c r="O21" s="225">
        <v>33240428</v>
      </c>
      <c r="P21" s="225">
        <f t="shared" si="0"/>
        <v>64424465</v>
      </c>
      <c r="Q21" s="246">
        <f t="shared" si="1"/>
        <v>0.90301384990616529</v>
      </c>
      <c r="R21" s="696">
        <v>6653154.6465467801</v>
      </c>
      <c r="S21" s="695">
        <v>266208.58675719955</v>
      </c>
      <c r="T21" s="225"/>
      <c r="U21" s="461">
        <f t="shared" si="2"/>
        <v>6919363.23330398</v>
      </c>
      <c r="V21" s="251">
        <f t="shared" si="3"/>
        <v>9.6986150093834683E-2</v>
      </c>
      <c r="W21"/>
      <c r="X21" s="691"/>
      <c r="Y21" s="691"/>
      <c r="Z21" s="691"/>
      <c r="AA21" s="691"/>
      <c r="AB21" s="691"/>
      <c r="AC21" s="691"/>
      <c r="AD21" s="234"/>
    </row>
    <row r="22" spans="12:38" ht="15" customHeight="1" x14ac:dyDescent="0.25">
      <c r="L22" s="537"/>
      <c r="M22" s="238"/>
      <c r="N22" s="225"/>
      <c r="O22" s="225"/>
      <c r="P22" s="225"/>
      <c r="Q22" s="246"/>
      <c r="R22" s="238"/>
      <c r="S22" s="225"/>
      <c r="T22" s="225"/>
      <c r="U22" s="332"/>
      <c r="V22" s="251"/>
      <c r="W22"/>
      <c r="X22" s="691"/>
      <c r="Y22" s="691"/>
      <c r="Z22" s="691"/>
      <c r="AA22" s="691"/>
      <c r="AB22" s="691"/>
      <c r="AC22" s="691"/>
      <c r="AD22" s="234"/>
    </row>
    <row r="23" spans="12:38" ht="15" customHeight="1" x14ac:dyDescent="0.25">
      <c r="L23" s="538" t="s">
        <v>83</v>
      </c>
      <c r="M23" s="239">
        <f>SUM(M10:M21)/12</f>
        <v>17951605.241666667</v>
      </c>
      <c r="N23" s="226">
        <f>SUM(N10:N21)/12</f>
        <v>7899918.7250000006</v>
      </c>
      <c r="O23" s="226">
        <f>SUM(O10:O21)/12</f>
        <v>28601334.833333332</v>
      </c>
      <c r="P23" s="226">
        <f>SUM(P10:P21)/12</f>
        <v>54452858.800000004</v>
      </c>
      <c r="Q23" s="247">
        <f t="shared" si="1"/>
        <v>0.9606709832180973</v>
      </c>
      <c r="R23" s="239">
        <f>SUM(R2:R21)/12</f>
        <v>2125279.8376319986</v>
      </c>
      <c r="S23" s="226">
        <f>SUM(S2:S21)/12</f>
        <v>103971.83643629997</v>
      </c>
      <c r="T23" s="226">
        <f>SUM(T2:T21)/12</f>
        <v>0</v>
      </c>
      <c r="U23" s="335">
        <f>SUM(U2:U21)/12</f>
        <v>2229251.6740682982</v>
      </c>
      <c r="V23" s="252">
        <f t="shared" si="3"/>
        <v>3.9329016781902759E-2</v>
      </c>
      <c r="W23" s="331"/>
      <c r="X23" s="691"/>
      <c r="Y23" s="691"/>
      <c r="Z23" s="691"/>
      <c r="AA23"/>
      <c r="AB23"/>
      <c r="AC23"/>
      <c r="AD23" s="241"/>
      <c r="AE23" s="241"/>
      <c r="AF23" s="241"/>
      <c r="AG23" s="241"/>
      <c r="AH23" s="241"/>
      <c r="AI23" s="241"/>
      <c r="AJ23" s="241"/>
      <c r="AK23" s="241"/>
    </row>
    <row r="24" spans="12:38" ht="15" customHeight="1" x14ac:dyDescent="0.25">
      <c r="L24" s="538" t="s">
        <v>78</v>
      </c>
      <c r="M24" s="446">
        <f>SUM(M10:M21)</f>
        <v>215419262.90000001</v>
      </c>
      <c r="N24" s="226">
        <f>SUM(N10:N21)</f>
        <v>94799024.700000003</v>
      </c>
      <c r="O24" s="447">
        <f>SUM(O10:O21)</f>
        <v>343216018</v>
      </c>
      <c r="P24" s="226">
        <f>SUM(P10:P21)</f>
        <v>653434305.60000002</v>
      </c>
      <c r="Q24" s="247">
        <f t="shared" si="1"/>
        <v>0.96067098321809719</v>
      </c>
      <c r="R24" s="239">
        <f>SUM(R2:R21)</f>
        <v>25503358.051583983</v>
      </c>
      <c r="S24" s="226">
        <f>SUM(S2:S21)</f>
        <v>1247662.0372355997</v>
      </c>
      <c r="T24" s="226">
        <f>SUM(T2:T21)</f>
        <v>0</v>
      </c>
      <c r="U24" s="335">
        <f>SUM(U2:U21)</f>
        <v>26751020.088819578</v>
      </c>
      <c r="V24" s="252">
        <f t="shared" si="3"/>
        <v>3.9329016781902752E-2</v>
      </c>
      <c r="W24"/>
      <c r="X24" s="691"/>
      <c r="Y24" s="691"/>
      <c r="Z24" s="691"/>
      <c r="AA24"/>
      <c r="AB24"/>
      <c r="AC24"/>
      <c r="AD24" s="242"/>
      <c r="AE24" s="242"/>
      <c r="AF24" s="242"/>
      <c r="AG24" s="242"/>
      <c r="AH24" s="243"/>
      <c r="AI24" s="242"/>
      <c r="AJ24" s="242"/>
      <c r="AK24" s="242"/>
    </row>
    <row r="25" spans="12:38" ht="15" customHeight="1" thickBot="1" x14ac:dyDescent="0.3">
      <c r="L25" s="539"/>
      <c r="M25" s="240"/>
      <c r="N25" s="227"/>
      <c r="O25" s="227"/>
      <c r="P25" s="227"/>
      <c r="Q25" s="248"/>
      <c r="R25" s="240"/>
      <c r="S25" s="227"/>
      <c r="T25" s="227"/>
      <c r="U25" s="227"/>
      <c r="V25" s="253"/>
      <c r="W25"/>
      <c r="X25" s="691"/>
      <c r="Y25" s="691"/>
      <c r="Z25" s="691"/>
      <c r="AA25"/>
      <c r="AB25"/>
      <c r="AC25"/>
      <c r="AD25" s="242"/>
      <c r="AE25" s="242"/>
      <c r="AF25" s="242"/>
      <c r="AG25" s="242"/>
      <c r="AH25" s="242"/>
      <c r="AI25" s="242"/>
      <c r="AJ25" s="242"/>
      <c r="AK25" s="242"/>
    </row>
    <row r="26" spans="12:38" ht="15" customHeight="1" x14ac:dyDescent="0.25">
      <c r="L26"/>
      <c r="M26"/>
      <c r="N26"/>
      <c r="O26"/>
      <c r="P26"/>
      <c r="Q26"/>
      <c r="R26"/>
      <c r="S26"/>
      <c r="T26"/>
      <c r="U26"/>
      <c r="V26"/>
      <c r="W26"/>
      <c r="X26" s="691"/>
      <c r="Y26" s="691"/>
      <c r="Z26" s="691"/>
      <c r="AA26"/>
      <c r="AB26"/>
      <c r="AC26"/>
      <c r="AD26" s="242"/>
      <c r="AE26" s="242"/>
      <c r="AF26" s="242"/>
      <c r="AG26" s="242"/>
      <c r="AH26" s="242"/>
      <c r="AI26" s="242"/>
      <c r="AJ26" s="242"/>
      <c r="AK26" s="242"/>
      <c r="AL26" s="242"/>
    </row>
    <row r="27" spans="12:38" ht="15" customHeight="1" x14ac:dyDescent="0.25">
      <c r="L27"/>
      <c r="M27" s="308"/>
      <c r="N27" s="308"/>
      <c r="O27" s="308"/>
      <c r="P27"/>
      <c r="Q27"/>
      <c r="R27"/>
      <c r="S27" s="331"/>
      <c r="T27"/>
      <c r="U27"/>
      <c r="V27" s="331"/>
      <c r="W27"/>
      <c r="X27" s="691"/>
      <c r="Y27" s="691"/>
      <c r="Z27" s="691"/>
      <c r="AA27"/>
      <c r="AB27"/>
      <c r="AC27"/>
      <c r="AD27" s="242"/>
      <c r="AE27" s="242"/>
      <c r="AF27" s="242"/>
      <c r="AG27" s="242"/>
      <c r="AH27" s="242"/>
      <c r="AI27" s="242"/>
      <c r="AJ27" s="242"/>
      <c r="AK27" s="242"/>
      <c r="AL27" s="242"/>
    </row>
    <row r="28" spans="12:38" ht="15" customHeight="1" x14ac:dyDescent="0.25">
      <c r="L28"/>
      <c r="M28" s="691"/>
      <c r="N28" s="691"/>
      <c r="O28" s="691"/>
      <c r="P28" s="691"/>
      <c r="Q28" s="678"/>
      <c r="R28" s="691"/>
      <c r="S28" s="691"/>
      <c r="T28" s="691"/>
      <c r="U28" s="691"/>
      <c r="V28" s="691"/>
      <c r="W28" s="691"/>
      <c r="X28" s="691"/>
      <c r="Y28" s="691"/>
      <c r="Z28" s="691"/>
      <c r="AA28"/>
      <c r="AB28"/>
      <c r="AC28"/>
      <c r="AD28" s="242"/>
      <c r="AE28" s="242"/>
      <c r="AF28" s="242"/>
      <c r="AG28" s="242"/>
      <c r="AH28" s="242"/>
      <c r="AI28" s="242"/>
      <c r="AJ28" s="242"/>
      <c r="AK28" s="242"/>
      <c r="AL28" s="242"/>
    </row>
    <row r="29" spans="12:38" ht="15" customHeight="1" x14ac:dyDescent="0.25">
      <c r="L29"/>
      <c r="M29" s="691"/>
      <c r="N29" s="691"/>
      <c r="O29" s="691"/>
      <c r="P29" s="691"/>
      <c r="Q29" s="691"/>
      <c r="R29" s="691"/>
      <c r="S29" s="691"/>
      <c r="T29" s="691"/>
      <c r="U29" s="691"/>
      <c r="V29" s="691"/>
      <c r="W29" s="691"/>
      <c r="X29" s="691"/>
      <c r="Y29" s="691"/>
      <c r="Z29" s="691"/>
      <c r="AA29"/>
      <c r="AB29"/>
      <c r="AC29"/>
      <c r="AD29" s="242"/>
      <c r="AE29" s="242"/>
      <c r="AF29" s="242"/>
      <c r="AG29" s="242"/>
      <c r="AH29" s="242"/>
      <c r="AI29" s="243"/>
      <c r="AJ29" s="242"/>
      <c r="AK29" s="242"/>
      <c r="AL29" s="242"/>
    </row>
    <row r="30" spans="12:38" ht="15" customHeight="1" x14ac:dyDescent="0.25">
      <c r="L30"/>
      <c r="M30" s="691"/>
      <c r="N30" s="691"/>
      <c r="O30" s="691"/>
      <c r="P30" s="691"/>
      <c r="Q30" s="691"/>
      <c r="R30" s="691"/>
      <c r="S30" s="763"/>
      <c r="T30" s="763"/>
      <c r="U30" s="691"/>
      <c r="V30" s="691"/>
      <c r="W30" s="691"/>
      <c r="X30" s="692"/>
      <c r="Y30" s="691"/>
      <c r="Z30" s="691"/>
      <c r="AA30"/>
      <c r="AB30"/>
      <c r="AC30"/>
      <c r="AD30" s="242"/>
      <c r="AE30" s="242"/>
      <c r="AF30" s="242"/>
      <c r="AG30" s="242"/>
      <c r="AH30" s="242"/>
      <c r="AI30" s="242"/>
      <c r="AJ30" s="242"/>
      <c r="AK30" s="242"/>
      <c r="AL30" s="242"/>
    </row>
    <row r="31" spans="12:38" ht="15" customHeight="1" x14ac:dyDescent="0.25">
      <c r="L31"/>
      <c r="M31" s="691"/>
      <c r="N31" s="691"/>
      <c r="O31" s="691"/>
      <c r="P31" s="691"/>
      <c r="Q31" s="691"/>
      <c r="R31" s="691"/>
      <c r="S31" s="691"/>
      <c r="T31" s="691"/>
      <c r="U31" s="691"/>
      <c r="V31" s="691"/>
      <c r="W31" s="691"/>
      <c r="X31" s="692"/>
      <c r="Y31" s="691"/>
      <c r="Z31" s="691"/>
      <c r="AA31"/>
      <c r="AB31"/>
      <c r="AC31"/>
      <c r="AD31" s="242"/>
      <c r="AE31" s="242"/>
      <c r="AF31" s="242"/>
      <c r="AG31" s="242"/>
      <c r="AH31" s="242"/>
      <c r="AI31" s="243"/>
      <c r="AJ31" s="242"/>
      <c r="AK31" s="242"/>
      <c r="AL31" s="242"/>
    </row>
    <row r="32" spans="12:38" ht="15" customHeight="1" x14ac:dyDescent="0.25">
      <c r="L32"/>
      <c r="M32" s="691"/>
      <c r="N32" s="691"/>
      <c r="O32" s="691"/>
      <c r="P32" s="691"/>
      <c r="Q32" s="691"/>
      <c r="R32" s="691"/>
      <c r="S32" s="691"/>
      <c r="T32" s="691"/>
      <c r="U32" s="691"/>
      <c r="V32" s="691"/>
      <c r="W32" s="691"/>
      <c r="X32" s="692"/>
      <c r="Y32" s="691"/>
      <c r="Z32" s="691"/>
      <c r="AA32"/>
      <c r="AB32"/>
      <c r="AC32"/>
      <c r="AD32" s="242"/>
      <c r="AE32" s="242"/>
      <c r="AF32" s="242"/>
      <c r="AG32" s="242"/>
      <c r="AH32" s="242"/>
      <c r="AI32" s="242"/>
      <c r="AJ32" s="242"/>
      <c r="AK32" s="242"/>
      <c r="AL32" s="242"/>
    </row>
    <row r="33" spans="1:38" ht="15" customHeight="1" x14ac:dyDescent="0.25">
      <c r="L33"/>
      <c r="M33" s="691"/>
      <c r="N33" s="691"/>
      <c r="O33" s="691"/>
      <c r="P33" s="691"/>
      <c r="Q33" s="691"/>
      <c r="R33" s="691"/>
      <c r="S33" s="691"/>
      <c r="T33" s="691"/>
      <c r="U33" s="691"/>
      <c r="V33" s="691"/>
      <c r="W33" s="691"/>
      <c r="X33" s="692"/>
      <c r="Y33" s="691"/>
      <c r="Z33" s="691"/>
      <c r="AA33"/>
      <c r="AB33"/>
      <c r="AC33"/>
      <c r="AD33" s="242"/>
      <c r="AE33" s="242"/>
      <c r="AF33" s="242"/>
      <c r="AG33" s="242"/>
      <c r="AH33" s="242"/>
      <c r="AI33" s="243"/>
      <c r="AJ33" s="242"/>
      <c r="AK33" s="242"/>
      <c r="AL33" s="242"/>
    </row>
    <row r="34" spans="1:38" ht="15" customHeight="1" x14ac:dyDescent="0.25">
      <c r="L34" s="228"/>
      <c r="M34" s="692"/>
      <c r="N34" s="692"/>
      <c r="O34" s="692"/>
      <c r="P34" s="692"/>
      <c r="Q34" s="692"/>
      <c r="R34" s="691"/>
      <c r="S34" s="691"/>
      <c r="T34" s="691"/>
      <c r="U34" s="691"/>
      <c r="V34" s="691"/>
      <c r="W34" s="691"/>
      <c r="X34" s="692"/>
      <c r="Y34" s="691"/>
      <c r="Z34" s="691"/>
      <c r="AA34"/>
      <c r="AB34"/>
      <c r="AC34"/>
      <c r="AD34" s="242"/>
      <c r="AE34" s="242"/>
      <c r="AF34" s="242"/>
      <c r="AG34" s="242"/>
      <c r="AH34" s="242"/>
      <c r="AI34" s="242"/>
      <c r="AJ34" s="242"/>
      <c r="AK34" s="242"/>
      <c r="AL34" s="242"/>
    </row>
    <row r="35" spans="1:38" ht="15" customHeight="1" x14ac:dyDescent="0.25">
      <c r="L35" s="228"/>
      <c r="M35" s="692"/>
      <c r="N35" s="692"/>
      <c r="O35" s="692"/>
      <c r="P35" s="692"/>
      <c r="Q35" s="692"/>
      <c r="R35" s="691"/>
      <c r="S35" s="691"/>
      <c r="T35" s="691"/>
      <c r="U35" s="691"/>
      <c r="V35" s="691"/>
      <c r="W35" s="691"/>
      <c r="X35" s="692"/>
      <c r="Y35" s="691"/>
      <c r="Z35" s="691"/>
      <c r="AA35"/>
      <c r="AB35"/>
      <c r="AC35"/>
      <c r="AD35" s="242"/>
      <c r="AE35" s="242"/>
      <c r="AF35" s="242"/>
      <c r="AG35" s="242"/>
      <c r="AH35" s="242"/>
      <c r="AI35" s="242"/>
      <c r="AJ35" s="242"/>
      <c r="AK35" s="242"/>
      <c r="AL35" s="242"/>
    </row>
    <row r="36" spans="1:38" s="222" customFormat="1" ht="15" customHeight="1" x14ac:dyDescent="0.2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228"/>
      <c r="M36" s="692"/>
      <c r="N36" s="692"/>
      <c r="O36" s="692"/>
      <c r="P36" s="692"/>
      <c r="Q36" s="692"/>
      <c r="R36" s="691"/>
      <c r="S36" s="691"/>
      <c r="T36" s="691"/>
      <c r="U36" s="691"/>
      <c r="V36" s="691"/>
      <c r="W36" s="691"/>
      <c r="X36" s="693"/>
      <c r="Y36" s="691"/>
      <c r="Z36" s="691"/>
      <c r="AA36"/>
      <c r="AB36"/>
      <c r="AC36"/>
      <c r="AD36" s="242"/>
      <c r="AE36" s="242"/>
      <c r="AF36" s="242"/>
      <c r="AG36" s="242"/>
      <c r="AH36" s="242"/>
      <c r="AI36" s="242"/>
      <c r="AJ36" s="242"/>
      <c r="AK36" s="242"/>
      <c r="AL36" s="242"/>
    </row>
    <row r="37" spans="1:38" s="222" customFormat="1" ht="15" customHeight="1" x14ac:dyDescent="0.2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228"/>
      <c r="M37" s="692"/>
      <c r="N37" s="692"/>
      <c r="O37" s="692"/>
      <c r="P37" s="692"/>
      <c r="Q37" s="692"/>
      <c r="R37" s="691"/>
      <c r="S37" s="691"/>
      <c r="T37" s="691"/>
      <c r="U37" s="691"/>
      <c r="V37" s="691"/>
      <c r="W37" s="691"/>
      <c r="X37" s="693"/>
      <c r="Y37" s="691"/>
      <c r="Z37" s="691"/>
      <c r="AA37"/>
      <c r="AB37"/>
      <c r="AC37"/>
      <c r="AD37" s="94"/>
      <c r="AE37" s="94"/>
      <c r="AF37" s="94"/>
      <c r="AG37" s="94"/>
      <c r="AH37" s="94"/>
      <c r="AI37" s="94"/>
      <c r="AJ37" s="94"/>
      <c r="AK37" s="94"/>
      <c r="AL37" s="94"/>
    </row>
    <row r="38" spans="1:38" ht="15" customHeight="1" x14ac:dyDescent="0.2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8"/>
      <c r="M38" s="692"/>
      <c r="N38" s="692"/>
      <c r="O38" s="692"/>
      <c r="P38" s="692"/>
      <c r="Q38" s="692"/>
      <c r="R38" s="691"/>
      <c r="S38" s="691"/>
      <c r="T38" s="691"/>
      <c r="U38" s="691"/>
      <c r="V38" s="691"/>
      <c r="W38" s="691"/>
      <c r="X38" s="692"/>
      <c r="Y38" s="234"/>
      <c r="Z38" s="691"/>
    </row>
    <row r="39" spans="1:38" ht="15" customHeight="1" x14ac:dyDescent="0.25">
      <c r="A39" s="222"/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8"/>
      <c r="M39" s="692"/>
      <c r="N39" s="692"/>
      <c r="O39" s="692"/>
      <c r="P39" s="692"/>
      <c r="Q39" s="692"/>
      <c r="R39" s="691"/>
      <c r="S39" s="691"/>
      <c r="T39" s="691"/>
      <c r="U39" s="691"/>
      <c r="V39" s="691"/>
      <c r="W39" s="691"/>
      <c r="X39" s="692"/>
      <c r="Y39" s="692"/>
      <c r="Z39" s="691"/>
    </row>
    <row r="40" spans="1:38" s="222" customFormat="1" ht="15" customHeight="1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228"/>
      <c r="M40" s="229"/>
      <c r="N40" s="229"/>
      <c r="O40" s="229"/>
      <c r="P40" s="229"/>
      <c r="Q40" s="229"/>
      <c r="R40"/>
      <c r="S40" s="691"/>
      <c r="T40" s="691"/>
      <c r="U40"/>
      <c r="V40" s="691"/>
      <c r="W40" s="691"/>
      <c r="X40" s="231"/>
      <c r="Z40" s="691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</row>
    <row r="41" spans="1:38" s="222" customFormat="1" ht="15" customHeight="1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228"/>
      <c r="M41" s="229"/>
      <c r="N41" s="229"/>
      <c r="O41" s="229"/>
      <c r="P41" s="229"/>
      <c r="Q41" s="229"/>
      <c r="R41"/>
      <c r="S41" s="691"/>
      <c r="T41" s="691"/>
      <c r="U41"/>
      <c r="V41" s="691"/>
      <c r="W41" s="691"/>
      <c r="X41" s="231"/>
      <c r="Z41" s="691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</row>
    <row r="42" spans="1:38" s="234" customFormat="1" ht="15" customHeight="1" x14ac:dyDescent="0.25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8"/>
      <c r="M42" s="229"/>
      <c r="N42" s="229"/>
      <c r="O42" s="229"/>
      <c r="P42" s="229"/>
      <c r="Q42" s="229"/>
      <c r="R42"/>
      <c r="S42" s="691"/>
      <c r="T42" s="691"/>
      <c r="U42"/>
      <c r="V42" s="691"/>
      <c r="W42" s="691"/>
      <c r="X42" s="231"/>
      <c r="Z42" s="691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</row>
    <row r="43" spans="1:38" ht="15" customHeight="1" x14ac:dyDescent="0.25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30"/>
      <c r="M43" s="231"/>
      <c r="N43" s="231"/>
      <c r="O43" s="231"/>
      <c r="P43" s="231"/>
      <c r="Q43" s="231"/>
      <c r="R43"/>
      <c r="S43" s="691"/>
      <c r="T43" s="691"/>
      <c r="U43"/>
      <c r="V43" s="691"/>
      <c r="W43" s="691"/>
      <c r="X43" s="231"/>
      <c r="Z43" s="691"/>
    </row>
    <row r="44" spans="1:38" ht="15" customHeight="1" x14ac:dyDescent="0.25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0"/>
      <c r="M44" s="231"/>
      <c r="N44" s="231"/>
      <c r="O44" s="231"/>
      <c r="P44" s="231"/>
      <c r="Q44" s="231"/>
      <c r="R44" s="691"/>
      <c r="S44" s="691"/>
      <c r="T44" s="691"/>
      <c r="U44" s="691"/>
      <c r="V44" s="691"/>
      <c r="W44" s="691"/>
      <c r="X44" s="231"/>
      <c r="Z44" s="234"/>
    </row>
    <row r="45" spans="1:38" ht="15" customHeight="1" x14ac:dyDescent="0.25">
      <c r="L45" s="232"/>
      <c r="M45" s="229"/>
      <c r="N45" s="229"/>
      <c r="O45" s="229"/>
      <c r="P45" s="229"/>
      <c r="Q45" s="229"/>
      <c r="R45" s="249"/>
      <c r="S45"/>
      <c r="T45"/>
      <c r="U45"/>
      <c r="V45"/>
      <c r="W45" s="249"/>
      <c r="X45" s="231"/>
    </row>
    <row r="46" spans="1:38" ht="15" customHeight="1" x14ac:dyDescent="0.25">
      <c r="L46" s="232"/>
      <c r="M46" s="229"/>
      <c r="N46" s="229"/>
      <c r="O46" s="229"/>
      <c r="P46" s="229"/>
      <c r="Q46" s="229"/>
      <c r="R46" s="249"/>
      <c r="S46"/>
      <c r="T46"/>
      <c r="U46"/>
      <c r="V46"/>
      <c r="W46" s="249"/>
      <c r="X46" s="231"/>
    </row>
    <row r="47" spans="1:38" ht="15" customHeight="1" x14ac:dyDescent="0.25">
      <c r="L47" s="230"/>
      <c r="M47" s="882"/>
      <c r="N47" s="882"/>
      <c r="O47" s="882"/>
      <c r="P47" s="882"/>
      <c r="Q47" s="882"/>
      <c r="R47" s="250"/>
      <c r="S47"/>
      <c r="T47"/>
      <c r="U47"/>
      <c r="V47"/>
      <c r="W47" s="250"/>
      <c r="X47" s="232"/>
    </row>
    <row r="48" spans="1:38" ht="15" customHeight="1" x14ac:dyDescent="0.25">
      <c r="L48" s="233"/>
      <c r="M48" s="231"/>
      <c r="N48" s="231"/>
      <c r="O48" s="231"/>
      <c r="P48" s="231"/>
      <c r="Q48" s="231"/>
      <c r="R48" s="250"/>
      <c r="S48" s="231"/>
      <c r="T48" s="231"/>
      <c r="U48" s="231"/>
      <c r="V48" s="231"/>
      <c r="W48" s="250"/>
      <c r="X48" s="237"/>
    </row>
    <row r="49" spans="12:24" ht="15" customHeight="1" x14ac:dyDescent="0.25">
      <c r="L49" s="235"/>
      <c r="M49" s="231"/>
      <c r="N49" s="231"/>
      <c r="O49" s="231"/>
      <c r="P49" s="231"/>
      <c r="Q49" s="231"/>
      <c r="R49" s="250"/>
      <c r="S49" s="231"/>
      <c r="T49" s="231"/>
      <c r="U49" s="231"/>
      <c r="V49" s="231"/>
      <c r="W49" s="250"/>
      <c r="X49" s="237"/>
    </row>
    <row r="50" spans="12:24" ht="15" customHeight="1" x14ac:dyDescent="0.25">
      <c r="L50" s="224"/>
      <c r="M50" s="231"/>
      <c r="N50" s="231"/>
      <c r="O50" s="231"/>
      <c r="P50" s="231"/>
      <c r="Q50" s="231"/>
      <c r="R50" s="250"/>
      <c r="S50" s="231"/>
      <c r="T50" s="231"/>
      <c r="U50" s="231"/>
      <c r="V50" s="231"/>
      <c r="W50" s="250"/>
      <c r="X50" s="232"/>
    </row>
    <row r="51" spans="12:24" ht="15" customHeight="1" x14ac:dyDescent="0.25">
      <c r="L51" s="230"/>
      <c r="M51" s="231"/>
      <c r="N51" s="231"/>
      <c r="O51" s="231"/>
      <c r="P51" s="231"/>
      <c r="Q51" s="231"/>
      <c r="R51" s="250"/>
      <c r="S51" s="231"/>
      <c r="T51" s="231"/>
      <c r="U51" s="231"/>
      <c r="V51" s="231"/>
      <c r="W51" s="250"/>
      <c r="X51" s="231"/>
    </row>
    <row r="52" spans="12:24" ht="15" customHeight="1" x14ac:dyDescent="0.25">
      <c r="L52" s="224"/>
      <c r="M52" s="231"/>
      <c r="N52" s="231"/>
      <c r="O52" s="231"/>
      <c r="P52" s="231"/>
      <c r="Q52" s="231"/>
      <c r="R52" s="250"/>
      <c r="S52" s="231"/>
      <c r="T52" s="231"/>
      <c r="U52" s="231"/>
      <c r="V52" s="231"/>
      <c r="W52" s="250"/>
      <c r="X52" s="232"/>
    </row>
    <row r="53" spans="12:24" ht="15" customHeight="1" x14ac:dyDescent="0.25">
      <c r="L53" s="224"/>
      <c r="M53" s="231"/>
      <c r="N53" s="231"/>
      <c r="O53" s="231"/>
      <c r="P53" s="231"/>
      <c r="Q53" s="231"/>
      <c r="R53" s="250"/>
      <c r="S53" s="231"/>
      <c r="T53" s="231"/>
      <c r="U53" s="231"/>
      <c r="V53" s="231"/>
      <c r="W53" s="250"/>
      <c r="X53" s="231"/>
    </row>
    <row r="54" spans="12:24" ht="15" customHeight="1" x14ac:dyDescent="0.25">
      <c r="L54" s="232"/>
      <c r="M54" s="232"/>
      <c r="N54" s="232"/>
      <c r="O54" s="232"/>
      <c r="P54" s="232"/>
      <c r="Q54" s="232"/>
      <c r="R54" s="249"/>
      <c r="S54" s="232"/>
      <c r="T54" s="232"/>
      <c r="U54" s="232"/>
      <c r="V54" s="232"/>
      <c r="W54" s="249"/>
      <c r="X54" s="231"/>
    </row>
    <row r="55" spans="12:24" ht="15" customHeight="1" x14ac:dyDescent="0.25">
      <c r="L55" s="224"/>
      <c r="M55" s="236"/>
      <c r="N55" s="236"/>
      <c r="O55" s="236"/>
      <c r="P55" s="236"/>
      <c r="Q55" s="236"/>
      <c r="R55" s="250"/>
      <c r="S55" s="236"/>
      <c r="T55" s="236"/>
      <c r="U55" s="236"/>
      <c r="V55" s="236"/>
      <c r="W55" s="250"/>
      <c r="X55" s="231"/>
    </row>
    <row r="56" spans="12:24" ht="15" customHeight="1" x14ac:dyDescent="0.25">
      <c r="L56" s="224"/>
      <c r="M56" s="236"/>
      <c r="N56" s="236"/>
      <c r="O56" s="236"/>
      <c r="P56" s="236"/>
      <c r="Q56" s="236"/>
      <c r="R56" s="250"/>
      <c r="S56" s="236"/>
      <c r="T56" s="236"/>
      <c r="U56" s="236"/>
      <c r="V56" s="236"/>
      <c r="W56" s="250"/>
      <c r="X56" s="231"/>
    </row>
    <row r="57" spans="12:24" ht="15" customHeight="1" x14ac:dyDescent="0.25">
      <c r="L57" s="232"/>
      <c r="M57" s="232"/>
      <c r="N57" s="232"/>
      <c r="O57" s="232"/>
      <c r="P57" s="232"/>
      <c r="Q57" s="232"/>
      <c r="R57" s="249"/>
      <c r="S57" s="232"/>
      <c r="T57" s="232"/>
      <c r="U57" s="232"/>
      <c r="V57" s="232"/>
      <c r="W57" s="249"/>
      <c r="X57" s="231"/>
    </row>
    <row r="58" spans="12:24" ht="15" customHeight="1" x14ac:dyDescent="0.25">
      <c r="L58" s="230"/>
      <c r="M58" s="882"/>
      <c r="N58" s="882"/>
      <c r="O58" s="882"/>
      <c r="P58" s="882"/>
      <c r="Q58" s="882"/>
      <c r="R58" s="250"/>
      <c r="S58" s="882"/>
      <c r="T58" s="882"/>
      <c r="U58" s="882"/>
      <c r="V58" s="231"/>
      <c r="W58" s="250"/>
      <c r="X58" s="231"/>
    </row>
    <row r="59" spans="12:24" ht="15" customHeight="1" x14ac:dyDescent="0.25">
      <c r="L59" s="230"/>
      <c r="M59" s="232"/>
      <c r="N59" s="232"/>
      <c r="O59" s="232"/>
      <c r="P59" s="232"/>
      <c r="Q59" s="232"/>
      <c r="R59" s="249"/>
      <c r="S59" s="232"/>
      <c r="T59" s="232"/>
      <c r="U59" s="232"/>
      <c r="V59" s="232"/>
      <c r="W59" s="249"/>
    </row>
    <row r="60" spans="12:24" ht="15" customHeight="1" x14ac:dyDescent="0.25">
      <c r="L60" s="235"/>
      <c r="M60" s="231"/>
      <c r="N60" s="231"/>
      <c r="O60" s="231"/>
      <c r="P60" s="231"/>
      <c r="Q60" s="231"/>
      <c r="R60" s="250"/>
      <c r="S60" s="231"/>
      <c r="T60" s="231"/>
      <c r="U60" s="231"/>
      <c r="V60" s="231"/>
      <c r="W60" s="250"/>
    </row>
    <row r="61" spans="12:24" ht="15" customHeight="1" x14ac:dyDescent="0.25">
      <c r="L61" s="224"/>
      <c r="M61" s="231"/>
      <c r="N61" s="231"/>
      <c r="O61" s="231"/>
      <c r="P61" s="231"/>
      <c r="Q61" s="231"/>
      <c r="R61" s="250"/>
      <c r="S61" s="231"/>
      <c r="T61" s="231"/>
      <c r="U61" s="231"/>
      <c r="V61" s="231"/>
      <c r="W61" s="250"/>
    </row>
    <row r="62" spans="12:24" ht="15" customHeight="1" x14ac:dyDescent="0.25">
      <c r="L62" s="230"/>
      <c r="M62" s="231"/>
      <c r="N62" s="231"/>
      <c r="O62" s="231"/>
      <c r="P62" s="231"/>
      <c r="Q62" s="231"/>
      <c r="R62" s="250"/>
      <c r="S62" s="231"/>
      <c r="T62" s="231"/>
      <c r="U62" s="231"/>
      <c r="V62" s="231"/>
      <c r="W62" s="250"/>
    </row>
    <row r="63" spans="12:24" ht="15" customHeight="1" x14ac:dyDescent="0.25">
      <c r="L63" s="224"/>
      <c r="M63" s="231"/>
      <c r="N63" s="231"/>
      <c r="O63" s="231"/>
      <c r="P63" s="231"/>
      <c r="Q63" s="231"/>
      <c r="R63" s="250"/>
      <c r="S63" s="231"/>
      <c r="T63" s="231"/>
      <c r="U63" s="231"/>
      <c r="V63" s="231"/>
      <c r="W63" s="250"/>
    </row>
    <row r="64" spans="12:24" ht="15" customHeight="1" x14ac:dyDescent="0.25">
      <c r="L64" s="224"/>
      <c r="M64" s="231"/>
      <c r="N64" s="231"/>
      <c r="O64" s="231"/>
      <c r="P64" s="231"/>
      <c r="Q64" s="231"/>
      <c r="R64" s="250"/>
      <c r="S64" s="231"/>
      <c r="T64" s="231"/>
      <c r="U64" s="231"/>
      <c r="V64" s="231"/>
      <c r="W64" s="250"/>
    </row>
    <row r="65" spans="12:23" ht="15" customHeight="1" x14ac:dyDescent="0.25">
      <c r="L65" s="224"/>
      <c r="M65" s="231"/>
      <c r="N65" s="231"/>
      <c r="O65" s="231"/>
      <c r="P65" s="231"/>
      <c r="Q65" s="231"/>
      <c r="R65" s="250"/>
      <c r="S65" s="231"/>
      <c r="T65" s="231"/>
      <c r="U65" s="231"/>
      <c r="V65" s="231"/>
      <c r="W65" s="250"/>
    </row>
  </sheetData>
  <mergeCells count="21">
    <mergeCell ref="S58:U58"/>
    <mergeCell ref="M58:Q58"/>
    <mergeCell ref="M47:Q47"/>
    <mergeCell ref="Q7:Q8"/>
    <mergeCell ref="M7:M8"/>
    <mergeCell ref="N7:N8"/>
    <mergeCell ref="O7:O8"/>
    <mergeCell ref="R7:R8"/>
    <mergeCell ref="U7:U8"/>
    <mergeCell ref="B1:J1"/>
    <mergeCell ref="B2:J2"/>
    <mergeCell ref="B3:J3"/>
    <mergeCell ref="R6:V6"/>
    <mergeCell ref="R4:V4"/>
    <mergeCell ref="L4:Q4"/>
    <mergeCell ref="L6:L8"/>
    <mergeCell ref="P7:P8"/>
    <mergeCell ref="V7:V8"/>
    <mergeCell ref="T7:T8"/>
    <mergeCell ref="S7:S8"/>
    <mergeCell ref="M6:Q6"/>
  </mergeCells>
  <phoneticPr fontId="10" type="noConversion"/>
  <pageMargins left="0.75" right="0.75" top="1" bottom="1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AJ380"/>
  <sheetViews>
    <sheetView workbookViewId="0">
      <selection activeCell="AG104" sqref="AG104"/>
    </sheetView>
  </sheetViews>
  <sheetFormatPr baseColWidth="10" defaultColWidth="11.44140625" defaultRowHeight="13.2" x14ac:dyDescent="0.25"/>
  <cols>
    <col min="12" max="12" width="3.88671875" customWidth="1"/>
    <col min="23" max="23" width="17.6640625" customWidth="1"/>
    <col min="25" max="25" width="13.109375" customWidth="1"/>
  </cols>
  <sheetData>
    <row r="1" spans="2:31" ht="15.6" x14ac:dyDescent="0.25">
      <c r="B1" s="864" t="s">
        <v>41</v>
      </c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</row>
    <row r="2" spans="2:31" ht="15.6" x14ac:dyDescent="0.25">
      <c r="B2" s="864" t="s">
        <v>42</v>
      </c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</row>
    <row r="3" spans="2:31" ht="15.6" x14ac:dyDescent="0.25">
      <c r="B3" s="864" t="s">
        <v>302</v>
      </c>
      <c r="C3" s="864"/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</row>
    <row r="4" spans="2:31" ht="15.6" x14ac:dyDescent="0.25">
      <c r="B4" s="864" t="s">
        <v>7</v>
      </c>
      <c r="C4" s="864"/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</row>
    <row r="6" spans="2:31" ht="15.6" x14ac:dyDescent="0.25">
      <c r="V6" s="864" t="s">
        <v>41</v>
      </c>
      <c r="W6" s="864"/>
      <c r="X6" s="864"/>
      <c r="Y6" s="864"/>
      <c r="Z6" s="864"/>
      <c r="AA6" s="864"/>
      <c r="AB6" s="864"/>
      <c r="AC6" s="864"/>
      <c r="AD6" s="864"/>
      <c r="AE6" s="864"/>
    </row>
    <row r="7" spans="2:31" ht="15.6" x14ac:dyDescent="0.25">
      <c r="V7" s="864" t="s">
        <v>42</v>
      </c>
      <c r="W7" s="864"/>
      <c r="X7" s="864"/>
      <c r="Y7" s="864"/>
      <c r="Z7" s="864"/>
      <c r="AA7" s="864"/>
      <c r="AB7" s="864"/>
      <c r="AC7" s="864"/>
      <c r="AD7" s="864"/>
      <c r="AE7" s="864"/>
    </row>
    <row r="8" spans="2:31" ht="15.6" x14ac:dyDescent="0.25">
      <c r="V8" s="864" t="s">
        <v>303</v>
      </c>
      <c r="W8" s="864"/>
      <c r="X8" s="864"/>
      <c r="Y8" s="864"/>
      <c r="Z8" s="864"/>
      <c r="AA8" s="864"/>
      <c r="AB8" s="864"/>
      <c r="AC8" s="864"/>
      <c r="AD8" s="864"/>
      <c r="AE8" s="864"/>
    </row>
    <row r="9" spans="2:31" ht="15.6" x14ac:dyDescent="0.25">
      <c r="V9" s="864" t="s">
        <v>7</v>
      </c>
      <c r="W9" s="864"/>
      <c r="X9" s="864"/>
      <c r="Y9" s="864"/>
      <c r="Z9" s="864"/>
      <c r="AA9" s="864"/>
      <c r="AB9" s="864"/>
      <c r="AC9" s="864"/>
      <c r="AD9" s="864"/>
      <c r="AE9" s="864"/>
    </row>
    <row r="10" spans="2:31" ht="15.6" x14ac:dyDescent="0.25">
      <c r="V10" s="812"/>
      <c r="W10" s="812"/>
      <c r="X10" s="812" t="s">
        <v>281</v>
      </c>
      <c r="Y10" s="812"/>
      <c r="Z10" s="812"/>
      <c r="AA10" s="812"/>
      <c r="AB10" s="812"/>
      <c r="AC10" s="812"/>
      <c r="AD10" s="812"/>
      <c r="AE10" s="812"/>
    </row>
    <row r="11" spans="2:31" ht="14.4" x14ac:dyDescent="0.25">
      <c r="X11" s="729" t="s">
        <v>275</v>
      </c>
      <c r="Y11" s="729" t="s">
        <v>276</v>
      </c>
      <c r="Z11" s="729" t="s">
        <v>277</v>
      </c>
      <c r="AA11" s="729" t="s">
        <v>278</v>
      </c>
      <c r="AB11" s="729" t="s">
        <v>279</v>
      </c>
      <c r="AC11" s="729" t="s">
        <v>280</v>
      </c>
    </row>
    <row r="13" spans="2:31" x14ac:dyDescent="0.25">
      <c r="X13" s="677"/>
      <c r="Y13" s="677"/>
      <c r="Z13" s="677"/>
      <c r="AA13" s="677"/>
      <c r="AB13" s="677"/>
      <c r="AC13" s="677"/>
    </row>
    <row r="14" spans="2:31" x14ac:dyDescent="0.25">
      <c r="X14" s="677"/>
      <c r="Y14" s="677"/>
      <c r="Z14" s="677"/>
      <c r="AA14" s="677"/>
      <c r="AB14" s="677"/>
      <c r="AC14" s="677"/>
    </row>
    <row r="15" spans="2:31" x14ac:dyDescent="0.25">
      <c r="W15" t="s">
        <v>297</v>
      </c>
      <c r="X15" s="677">
        <v>4.13</v>
      </c>
      <c r="Y15" s="677">
        <v>3.21</v>
      </c>
      <c r="Z15" s="677">
        <v>3.08</v>
      </c>
      <c r="AA15" s="677">
        <v>3.78</v>
      </c>
      <c r="AB15" s="677">
        <v>3.6</v>
      </c>
      <c r="AC15" s="677">
        <v>2.89</v>
      </c>
    </row>
    <row r="16" spans="2:31" x14ac:dyDescent="0.25">
      <c r="X16" s="677"/>
      <c r="Y16" s="677"/>
      <c r="Z16" s="677"/>
      <c r="AA16" s="677"/>
      <c r="AB16" s="677"/>
      <c r="AC16" s="677"/>
    </row>
    <row r="17" spans="23:29" x14ac:dyDescent="0.25">
      <c r="X17" s="677"/>
      <c r="Y17" s="677"/>
      <c r="Z17" s="677"/>
      <c r="AA17" s="677"/>
      <c r="AB17" s="677"/>
      <c r="AC17" s="677"/>
    </row>
    <row r="18" spans="23:29" x14ac:dyDescent="0.25">
      <c r="W18" t="s">
        <v>298</v>
      </c>
      <c r="X18" s="677">
        <v>3.81</v>
      </c>
      <c r="Y18" s="677">
        <v>2.29</v>
      </c>
      <c r="Z18" s="677">
        <v>2.4</v>
      </c>
      <c r="AA18" s="677">
        <v>2.88</v>
      </c>
      <c r="AB18" s="677">
        <v>2.93</v>
      </c>
      <c r="AC18" s="677">
        <v>2.0099999999999998</v>
      </c>
    </row>
    <row r="19" spans="23:29" x14ac:dyDescent="0.25">
      <c r="X19" s="677"/>
      <c r="Y19" s="677"/>
      <c r="Z19" s="677"/>
      <c r="AA19" s="677"/>
      <c r="AB19" s="677"/>
      <c r="AC19" s="677"/>
    </row>
    <row r="20" spans="23:29" x14ac:dyDescent="0.25">
      <c r="X20" s="677"/>
      <c r="Y20" s="677"/>
      <c r="Z20" s="677"/>
      <c r="AA20" s="677"/>
      <c r="AB20" s="677"/>
      <c r="AC20" s="677"/>
    </row>
    <row r="21" spans="23:29" x14ac:dyDescent="0.25">
      <c r="W21" t="s">
        <v>299</v>
      </c>
      <c r="X21" s="677">
        <v>3.71</v>
      </c>
      <c r="Y21" s="677">
        <v>2.66</v>
      </c>
      <c r="Z21" s="677">
        <v>2.75</v>
      </c>
      <c r="AA21" s="677">
        <v>3.29</v>
      </c>
      <c r="AB21" s="677">
        <v>3.26</v>
      </c>
      <c r="AC21" s="677">
        <v>2.44</v>
      </c>
    </row>
    <row r="22" spans="23:29" x14ac:dyDescent="0.25">
      <c r="X22" s="677"/>
      <c r="Y22" s="677"/>
      <c r="Z22" s="677"/>
      <c r="AA22" s="677"/>
      <c r="AB22" s="677"/>
      <c r="AC22" s="677"/>
    </row>
    <row r="23" spans="23:29" x14ac:dyDescent="0.25">
      <c r="X23" s="677"/>
      <c r="Y23" s="677"/>
      <c r="Z23" s="677"/>
      <c r="AA23" s="677"/>
      <c r="AB23" s="677"/>
      <c r="AC23" s="677"/>
    </row>
    <row r="24" spans="23:29" x14ac:dyDescent="0.25">
      <c r="W24" t="s">
        <v>300</v>
      </c>
      <c r="X24" s="677">
        <v>3.59</v>
      </c>
      <c r="Y24" s="677">
        <v>2.62</v>
      </c>
      <c r="Z24" s="677">
        <v>2.68</v>
      </c>
      <c r="AA24" s="677">
        <v>3.3</v>
      </c>
      <c r="AB24" s="677">
        <v>3.25</v>
      </c>
      <c r="AC24" s="677">
        <v>2.41</v>
      </c>
    </row>
    <row r="25" spans="23:29" x14ac:dyDescent="0.25">
      <c r="Z25" s="677"/>
    </row>
    <row r="27" spans="23:29" ht="15.6" x14ac:dyDescent="0.25">
      <c r="X27" s="812" t="s">
        <v>282</v>
      </c>
    </row>
    <row r="28" spans="23:29" ht="14.4" x14ac:dyDescent="0.25">
      <c r="X28" s="729" t="s">
        <v>275</v>
      </c>
      <c r="Y28" s="729" t="s">
        <v>276</v>
      </c>
      <c r="Z28" s="729" t="s">
        <v>277</v>
      </c>
      <c r="AA28" s="729" t="s">
        <v>278</v>
      </c>
      <c r="AB28" s="729" t="s">
        <v>279</v>
      </c>
      <c r="AC28" s="729" t="s">
        <v>280</v>
      </c>
    </row>
    <row r="30" spans="23:29" x14ac:dyDescent="0.25">
      <c r="X30" s="677"/>
      <c r="Y30" s="677"/>
      <c r="Z30" s="677"/>
      <c r="AA30" s="677"/>
      <c r="AB30" s="677"/>
      <c r="AC30" s="677"/>
    </row>
    <row r="31" spans="23:29" x14ac:dyDescent="0.25">
      <c r="X31" s="677"/>
      <c r="Y31" s="677"/>
      <c r="Z31" s="677"/>
      <c r="AA31" s="677"/>
      <c r="AB31" s="677"/>
      <c r="AC31" s="677"/>
    </row>
    <row r="32" spans="23:29" x14ac:dyDescent="0.25">
      <c r="W32" t="s">
        <v>297</v>
      </c>
      <c r="X32" s="677">
        <v>4</v>
      </c>
      <c r="Y32" s="677">
        <v>2.98</v>
      </c>
      <c r="Z32" s="677">
        <v>2.95</v>
      </c>
      <c r="AA32" s="677">
        <v>3.42</v>
      </c>
      <c r="AB32" s="677">
        <v>3.43</v>
      </c>
      <c r="AC32" s="677">
        <v>2.74</v>
      </c>
    </row>
    <row r="33" spans="23:29" x14ac:dyDescent="0.25">
      <c r="X33" s="677"/>
      <c r="Y33" s="677"/>
      <c r="Z33" s="677"/>
      <c r="AA33" s="677"/>
      <c r="AB33" s="677"/>
      <c r="AC33" s="677"/>
    </row>
    <row r="34" spans="23:29" x14ac:dyDescent="0.25">
      <c r="X34" s="677"/>
      <c r="Y34" s="677"/>
      <c r="Z34" s="677"/>
      <c r="AA34" s="677"/>
      <c r="AB34" s="677"/>
      <c r="AC34" s="677"/>
    </row>
    <row r="35" spans="23:29" x14ac:dyDescent="0.25">
      <c r="W35" t="s">
        <v>298</v>
      </c>
      <c r="X35" s="677">
        <v>3.65</v>
      </c>
      <c r="Y35" s="677">
        <v>2.1</v>
      </c>
      <c r="Z35" s="677">
        <v>2.2799999999999998</v>
      </c>
      <c r="AA35" s="677">
        <v>2.57</v>
      </c>
      <c r="AB35" s="677">
        <v>2.85</v>
      </c>
      <c r="AC35" s="677">
        <v>1.94</v>
      </c>
    </row>
    <row r="36" spans="23:29" x14ac:dyDescent="0.25">
      <c r="X36" s="677"/>
      <c r="Y36" s="677"/>
      <c r="Z36" s="677"/>
      <c r="AA36" s="677"/>
      <c r="AB36" s="677"/>
      <c r="AC36" s="677"/>
    </row>
    <row r="37" spans="23:29" x14ac:dyDescent="0.25">
      <c r="X37" s="677"/>
      <c r="Y37" s="677"/>
      <c r="Z37" s="677"/>
      <c r="AA37" s="677"/>
      <c r="AB37" s="677"/>
      <c r="AC37" s="677"/>
    </row>
    <row r="38" spans="23:29" x14ac:dyDescent="0.25">
      <c r="W38" t="s">
        <v>299</v>
      </c>
      <c r="X38" s="677">
        <v>3.55</v>
      </c>
      <c r="Y38" s="677">
        <v>2.5099999999999998</v>
      </c>
      <c r="Z38" s="677">
        <v>2.64</v>
      </c>
      <c r="AA38" s="677">
        <v>3.02</v>
      </c>
      <c r="AB38" s="677">
        <v>3.19</v>
      </c>
      <c r="AC38" s="677">
        <v>2.4226560000000004</v>
      </c>
    </row>
    <row r="39" spans="23:29" x14ac:dyDescent="0.25">
      <c r="X39" s="677"/>
      <c r="Y39" s="677"/>
      <c r="Z39" s="677"/>
      <c r="AA39" s="677"/>
      <c r="AB39" s="677"/>
      <c r="AC39" s="677"/>
    </row>
    <row r="40" spans="23:29" x14ac:dyDescent="0.25">
      <c r="X40" s="677"/>
      <c r="Y40" s="677"/>
      <c r="Z40" s="677"/>
      <c r="AA40" s="677"/>
      <c r="AB40" s="677"/>
      <c r="AC40" s="677"/>
    </row>
    <row r="41" spans="23:29" x14ac:dyDescent="0.25">
      <c r="W41" t="s">
        <v>300</v>
      </c>
      <c r="X41" s="677">
        <v>3.43</v>
      </c>
      <c r="Y41" s="677">
        <v>2.46</v>
      </c>
      <c r="Z41" s="677">
        <v>2.58</v>
      </c>
      <c r="AA41" s="677">
        <v>3.04</v>
      </c>
      <c r="AB41" s="677">
        <v>3.18</v>
      </c>
      <c r="AC41" s="677">
        <v>2.35</v>
      </c>
    </row>
    <row r="44" spans="23:29" ht="13.8" x14ac:dyDescent="0.25">
      <c r="X44" s="730" t="s">
        <v>76</v>
      </c>
    </row>
    <row r="45" spans="23:29" ht="14.4" x14ac:dyDescent="0.25">
      <c r="X45" s="729" t="s">
        <v>275</v>
      </c>
      <c r="Y45" s="729" t="s">
        <v>276</v>
      </c>
      <c r="Z45" s="729" t="s">
        <v>277</v>
      </c>
      <c r="AA45" s="729" t="s">
        <v>278</v>
      </c>
      <c r="AB45" s="729" t="s">
        <v>279</v>
      </c>
      <c r="AC45" s="729" t="s">
        <v>280</v>
      </c>
    </row>
    <row r="47" spans="23:29" x14ac:dyDescent="0.25">
      <c r="X47" s="677"/>
      <c r="Y47" s="677"/>
      <c r="Z47" s="677"/>
      <c r="AA47" s="677"/>
      <c r="AB47" s="677"/>
      <c r="AC47" s="677"/>
    </row>
    <row r="48" spans="23:29" x14ac:dyDescent="0.25">
      <c r="X48" s="677"/>
      <c r="Y48" s="677"/>
      <c r="Z48" s="677"/>
      <c r="AA48" s="677"/>
      <c r="AB48" s="677"/>
      <c r="AC48" s="677"/>
    </row>
    <row r="49" spans="23:29" x14ac:dyDescent="0.25">
      <c r="W49" t="s">
        <v>297</v>
      </c>
      <c r="X49" s="677">
        <v>3.53</v>
      </c>
      <c r="Y49" s="677">
        <v>2.82</v>
      </c>
      <c r="Z49" s="677">
        <v>3.08</v>
      </c>
      <c r="AA49" s="677">
        <v>3.12</v>
      </c>
      <c r="AB49" s="677">
        <v>3.12</v>
      </c>
      <c r="AC49" s="677">
        <v>2.5109820000000003</v>
      </c>
    </row>
    <row r="50" spans="23:29" x14ac:dyDescent="0.25">
      <c r="X50" s="677"/>
      <c r="Y50" s="677"/>
      <c r="Z50" s="677"/>
      <c r="AA50" s="677"/>
      <c r="AB50" s="677"/>
      <c r="AC50" s="677"/>
    </row>
    <row r="51" spans="23:29" x14ac:dyDescent="0.25">
      <c r="X51" s="677"/>
      <c r="Y51" s="677"/>
      <c r="Z51" s="677"/>
      <c r="AA51" s="677"/>
      <c r="AB51" s="677"/>
      <c r="AC51" s="677"/>
    </row>
    <row r="52" spans="23:29" x14ac:dyDescent="0.25">
      <c r="W52" t="s">
        <v>298</v>
      </c>
      <c r="X52" s="677">
        <v>2.65</v>
      </c>
      <c r="Y52" s="677">
        <v>1.95</v>
      </c>
      <c r="Z52" s="677">
        <v>3.2</v>
      </c>
      <c r="AA52" s="677">
        <v>2.33</v>
      </c>
      <c r="AB52" s="677">
        <v>2.4500000000000002</v>
      </c>
      <c r="AC52" s="677">
        <v>1.6781940000000002</v>
      </c>
    </row>
    <row r="53" spans="23:29" x14ac:dyDescent="0.25">
      <c r="X53" s="677"/>
      <c r="Y53" s="677"/>
      <c r="Z53" s="677"/>
      <c r="AA53" s="677"/>
      <c r="AB53" s="677"/>
      <c r="AC53" s="677"/>
    </row>
    <row r="54" spans="23:29" x14ac:dyDescent="0.25">
      <c r="X54" s="677"/>
      <c r="Y54" s="677"/>
      <c r="Z54" s="677"/>
      <c r="AA54" s="677"/>
      <c r="AB54" s="677"/>
      <c r="AC54" s="677"/>
    </row>
    <row r="55" spans="23:29" x14ac:dyDescent="0.25">
      <c r="W55" t="s">
        <v>299</v>
      </c>
      <c r="X55" s="677">
        <v>2.89</v>
      </c>
      <c r="Y55" s="677">
        <v>2.16</v>
      </c>
      <c r="Z55" s="677">
        <v>3.32</v>
      </c>
      <c r="AA55" s="677">
        <v>2.6</v>
      </c>
      <c r="AB55" s="677">
        <v>2.7</v>
      </c>
      <c r="AC55" s="677">
        <v>1.9936440000000004</v>
      </c>
    </row>
    <row r="56" spans="23:29" x14ac:dyDescent="0.25">
      <c r="X56" s="677"/>
      <c r="Y56" s="677"/>
      <c r="Z56" s="677"/>
      <c r="AA56" s="677"/>
      <c r="AB56" s="677"/>
      <c r="AC56" s="677"/>
    </row>
    <row r="57" spans="23:29" x14ac:dyDescent="0.25">
      <c r="X57" s="677"/>
      <c r="Y57" s="677"/>
      <c r="Z57" s="677"/>
      <c r="AA57" s="677"/>
      <c r="AB57" s="677"/>
      <c r="AC57" s="677"/>
    </row>
    <row r="58" spans="23:29" x14ac:dyDescent="0.25">
      <c r="W58" t="s">
        <v>300</v>
      </c>
      <c r="X58" s="677">
        <v>2.85</v>
      </c>
      <c r="Y58" s="677">
        <v>2.12</v>
      </c>
      <c r="Z58" s="677">
        <v>3.42</v>
      </c>
      <c r="AA58" s="677">
        <v>2.57</v>
      </c>
      <c r="AB58" s="677">
        <v>2.78</v>
      </c>
      <c r="AC58" s="677">
        <v>2.0188799999999998</v>
      </c>
    </row>
    <row r="67" spans="2:34" ht="15.6" x14ac:dyDescent="0.25">
      <c r="B67" s="864" t="s">
        <v>41</v>
      </c>
      <c r="C67" s="864"/>
      <c r="D67" s="864"/>
      <c r="E67" s="864"/>
      <c r="F67" s="864"/>
      <c r="G67" s="864"/>
      <c r="H67" s="864"/>
      <c r="I67" s="864"/>
      <c r="J67" s="864"/>
      <c r="K67" s="864"/>
      <c r="L67" s="864"/>
      <c r="M67" s="864"/>
      <c r="N67" s="864"/>
      <c r="O67" s="864"/>
      <c r="P67" s="864"/>
      <c r="Q67" s="864"/>
      <c r="R67" s="864"/>
      <c r="S67" s="864"/>
      <c r="T67" s="864"/>
    </row>
    <row r="68" spans="2:34" ht="15.6" x14ac:dyDescent="0.25">
      <c r="B68" s="864" t="s">
        <v>42</v>
      </c>
      <c r="C68" s="864"/>
      <c r="D68" s="864"/>
      <c r="E68" s="864"/>
      <c r="F68" s="864"/>
      <c r="G68" s="864"/>
      <c r="H68" s="864"/>
      <c r="I68" s="864"/>
      <c r="J68" s="864"/>
      <c r="K68" s="864"/>
      <c r="L68" s="864"/>
      <c r="M68" s="864"/>
      <c r="N68" s="864"/>
      <c r="O68" s="864"/>
      <c r="P68" s="864"/>
      <c r="Q68" s="864"/>
      <c r="R68" s="864"/>
      <c r="S68" s="864"/>
      <c r="T68" s="864"/>
    </row>
    <row r="69" spans="2:34" ht="15.6" x14ac:dyDescent="0.25">
      <c r="B69" s="864" t="s">
        <v>301</v>
      </c>
      <c r="C69" s="864"/>
      <c r="D69" s="864"/>
      <c r="E69" s="864"/>
      <c r="F69" s="864"/>
      <c r="G69" s="864"/>
      <c r="H69" s="864"/>
      <c r="I69" s="864"/>
      <c r="J69" s="864"/>
      <c r="K69" s="864"/>
      <c r="L69" s="864"/>
      <c r="M69" s="864"/>
      <c r="N69" s="864"/>
      <c r="O69" s="864"/>
      <c r="P69" s="864"/>
      <c r="Q69" s="864"/>
      <c r="R69" s="864"/>
      <c r="S69" s="864"/>
      <c r="T69" s="864"/>
    </row>
    <row r="70" spans="2:34" ht="15.6" x14ac:dyDescent="0.25">
      <c r="B70" s="864" t="s">
        <v>7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</row>
    <row r="72" spans="2:34" ht="15.6" x14ac:dyDescent="0.25">
      <c r="V72" s="864" t="s">
        <v>41</v>
      </c>
      <c r="W72" s="864"/>
      <c r="X72" s="864"/>
      <c r="Y72" s="864"/>
      <c r="Z72" s="864"/>
      <c r="AA72" s="864"/>
      <c r="AB72" s="864"/>
      <c r="AC72" s="864"/>
      <c r="AD72" s="864"/>
      <c r="AE72" s="864"/>
    </row>
    <row r="73" spans="2:34" ht="15.6" x14ac:dyDescent="0.25">
      <c r="V73" s="864" t="s">
        <v>42</v>
      </c>
      <c r="W73" s="864"/>
      <c r="X73" s="864"/>
      <c r="Y73" s="864"/>
      <c r="Z73" s="864"/>
      <c r="AA73" s="864"/>
      <c r="AB73" s="864"/>
      <c r="AC73" s="864"/>
      <c r="AD73" s="864"/>
      <c r="AE73" s="864"/>
    </row>
    <row r="74" spans="2:34" ht="15.6" x14ac:dyDescent="0.25">
      <c r="V74" s="864" t="s">
        <v>295</v>
      </c>
      <c r="W74" s="864"/>
      <c r="X74" s="864"/>
      <c r="Y74" s="864"/>
      <c r="Z74" s="864"/>
      <c r="AA74" s="864"/>
      <c r="AB74" s="864"/>
      <c r="AC74" s="864"/>
      <c r="AD74" s="864"/>
      <c r="AE74" s="864"/>
    </row>
    <row r="75" spans="2:34" ht="15.6" x14ac:dyDescent="0.25">
      <c r="V75" s="864" t="s">
        <v>7</v>
      </c>
      <c r="W75" s="864"/>
      <c r="X75" s="864"/>
      <c r="Y75" s="864"/>
      <c r="Z75" s="864"/>
      <c r="AA75" s="864"/>
      <c r="AB75" s="864"/>
      <c r="AC75" s="864"/>
      <c r="AD75" s="864"/>
      <c r="AE75" s="864"/>
    </row>
    <row r="76" spans="2:34" ht="15.6" x14ac:dyDescent="0.25">
      <c r="V76" s="812"/>
      <c r="W76" s="812"/>
      <c r="X76" s="812" t="s">
        <v>281</v>
      </c>
      <c r="Y76" s="812"/>
      <c r="Z76" s="812"/>
      <c r="AA76" s="812"/>
      <c r="AB76" s="812"/>
      <c r="AC76" s="812"/>
      <c r="AD76" s="812"/>
      <c r="AE76" s="812"/>
    </row>
    <row r="77" spans="2:34" ht="14.4" x14ac:dyDescent="0.25">
      <c r="X77" s="729" t="s">
        <v>275</v>
      </c>
      <c r="Y77" s="729" t="s">
        <v>276</v>
      </c>
      <c r="Z77" s="729" t="s">
        <v>277</v>
      </c>
      <c r="AA77" s="729" t="s">
        <v>278</v>
      </c>
      <c r="AB77" s="729" t="s">
        <v>279</v>
      </c>
      <c r="AC77" s="729" t="s">
        <v>280</v>
      </c>
    </row>
    <row r="79" spans="2:34" x14ac:dyDescent="0.25">
      <c r="X79" s="677"/>
      <c r="Y79" s="677"/>
      <c r="Z79" s="677"/>
      <c r="AA79" s="677"/>
      <c r="AB79" s="677"/>
      <c r="AC79" s="677"/>
      <c r="AG79" s="677"/>
      <c r="AH79" s="677"/>
    </row>
    <row r="80" spans="2:34" x14ac:dyDescent="0.25">
      <c r="X80" s="677"/>
      <c r="Y80" s="677"/>
      <c r="Z80" s="677"/>
      <c r="AA80" s="677"/>
      <c r="AB80" s="677"/>
      <c r="AC80" s="677"/>
      <c r="AG80" s="677"/>
      <c r="AH80" s="677"/>
    </row>
    <row r="81" spans="23:34" x14ac:dyDescent="0.25">
      <c r="W81" t="s">
        <v>297</v>
      </c>
      <c r="X81" s="677">
        <v>3.67</v>
      </c>
      <c r="Y81" s="677">
        <v>3.05</v>
      </c>
      <c r="Z81" s="677">
        <v>3.01</v>
      </c>
      <c r="AA81" s="677">
        <v>3.66</v>
      </c>
      <c r="AB81" s="677">
        <v>3.59</v>
      </c>
      <c r="AC81" s="677">
        <v>2.7381059999999997</v>
      </c>
      <c r="AG81" s="677"/>
      <c r="AH81" s="677"/>
    </row>
    <row r="82" spans="23:34" x14ac:dyDescent="0.25">
      <c r="X82" s="677"/>
      <c r="Y82" s="677"/>
      <c r="Z82" s="677"/>
      <c r="AA82" s="677"/>
      <c r="AB82" s="677"/>
      <c r="AC82" s="677"/>
      <c r="AG82" s="677"/>
      <c r="AH82" s="677"/>
    </row>
    <row r="83" spans="23:34" x14ac:dyDescent="0.25">
      <c r="X83" s="677"/>
      <c r="Y83" s="677"/>
      <c r="Z83" s="677"/>
      <c r="AA83" s="677"/>
      <c r="AB83" s="677"/>
      <c r="AC83" s="677"/>
      <c r="AG83" s="677"/>
      <c r="AH83" s="677"/>
    </row>
    <row r="84" spans="23:34" x14ac:dyDescent="0.25">
      <c r="W84" t="s">
        <v>298</v>
      </c>
      <c r="X84" s="677">
        <v>4.21</v>
      </c>
      <c r="Y84" s="677">
        <v>3.55</v>
      </c>
      <c r="Z84" s="677">
        <v>3.45</v>
      </c>
      <c r="AA84" s="677">
        <v>4.03</v>
      </c>
      <c r="AB84" s="677">
        <v>3.96</v>
      </c>
      <c r="AC84" s="677">
        <v>3.32</v>
      </c>
      <c r="AG84" s="677"/>
      <c r="AH84" s="677"/>
    </row>
    <row r="85" spans="23:34" x14ac:dyDescent="0.25">
      <c r="X85" s="677"/>
      <c r="Y85" s="677"/>
      <c r="Z85" s="677"/>
      <c r="AA85" s="677"/>
      <c r="AB85" s="677"/>
      <c r="AC85" s="677"/>
      <c r="AG85" s="677"/>
      <c r="AH85" s="677"/>
    </row>
    <row r="86" spans="23:34" x14ac:dyDescent="0.25">
      <c r="X86" s="677"/>
      <c r="Y86" s="677"/>
      <c r="Z86" s="677"/>
      <c r="AA86" s="677"/>
      <c r="AB86" s="677"/>
      <c r="AC86" s="677"/>
      <c r="AG86" s="677"/>
      <c r="AH86" s="677"/>
    </row>
    <row r="87" spans="23:34" x14ac:dyDescent="0.25">
      <c r="W87" t="s">
        <v>299</v>
      </c>
      <c r="X87" s="677">
        <v>4.3099999999999996</v>
      </c>
      <c r="Y87" s="677">
        <v>3.37</v>
      </c>
      <c r="Z87" s="677">
        <v>3.31</v>
      </c>
      <c r="AA87" s="677">
        <v>3.88</v>
      </c>
      <c r="AB87" s="677">
        <v>3.83</v>
      </c>
      <c r="AC87" s="677">
        <v>3.1</v>
      </c>
      <c r="AG87" s="677"/>
      <c r="AH87" s="677"/>
    </row>
    <row r="88" spans="23:34" x14ac:dyDescent="0.25">
      <c r="X88" s="677"/>
      <c r="Y88" s="677"/>
      <c r="Z88" s="677"/>
      <c r="AA88" s="677"/>
      <c r="AB88" s="677"/>
      <c r="AC88" s="677"/>
      <c r="AG88" s="677"/>
      <c r="AH88" s="677"/>
    </row>
    <row r="89" spans="23:34" x14ac:dyDescent="0.25">
      <c r="X89" s="677"/>
      <c r="Y89" s="677"/>
      <c r="Z89" s="677"/>
      <c r="AA89" s="677"/>
      <c r="AB89" s="677"/>
      <c r="AC89" s="677"/>
    </row>
    <row r="90" spans="23:34" x14ac:dyDescent="0.25">
      <c r="W90" t="s">
        <v>300</v>
      </c>
      <c r="X90" s="677">
        <v>4.1100000000000003</v>
      </c>
      <c r="Y90" s="677">
        <v>3.26</v>
      </c>
      <c r="Z90" s="677">
        <v>3.2</v>
      </c>
      <c r="AA90" s="677">
        <v>3.88</v>
      </c>
      <c r="AB90" s="677">
        <v>3.73</v>
      </c>
      <c r="AC90" s="677">
        <v>2.99</v>
      </c>
    </row>
    <row r="91" spans="23:34" x14ac:dyDescent="0.25">
      <c r="Z91" s="677"/>
    </row>
    <row r="93" spans="23:34" ht="15.6" x14ac:dyDescent="0.25">
      <c r="X93" s="812" t="s">
        <v>282</v>
      </c>
    </row>
    <row r="94" spans="23:34" ht="14.4" x14ac:dyDescent="0.25">
      <c r="X94" s="729" t="s">
        <v>275</v>
      </c>
      <c r="Y94" s="729" t="s">
        <v>276</v>
      </c>
      <c r="Z94" s="729" t="s">
        <v>277</v>
      </c>
      <c r="AA94" s="729" t="s">
        <v>278</v>
      </c>
      <c r="AB94" s="729" t="s">
        <v>279</v>
      </c>
      <c r="AC94" s="729" t="s">
        <v>280</v>
      </c>
    </row>
    <row r="96" spans="23:34" x14ac:dyDescent="0.25">
      <c r="X96" s="677"/>
      <c r="Y96" s="677"/>
      <c r="Z96" s="677"/>
      <c r="AA96" s="677"/>
      <c r="AB96" s="677"/>
      <c r="AC96" s="677"/>
    </row>
    <row r="97" spans="23:29" x14ac:dyDescent="0.25">
      <c r="X97" s="677"/>
      <c r="Y97" s="677"/>
      <c r="Z97" s="677"/>
      <c r="AA97" s="677"/>
      <c r="AB97" s="677"/>
      <c r="AC97" s="677"/>
    </row>
    <row r="98" spans="23:29" x14ac:dyDescent="0.25">
      <c r="W98" t="s">
        <v>297</v>
      </c>
      <c r="X98" s="677">
        <v>3.58</v>
      </c>
      <c r="Y98" s="677">
        <v>2.82</v>
      </c>
      <c r="Z98" s="677">
        <v>2.86</v>
      </c>
      <c r="AA98" s="677">
        <v>3.32</v>
      </c>
      <c r="AB98" s="677">
        <v>3.43</v>
      </c>
      <c r="AC98" s="677">
        <v>2.6633333333333336</v>
      </c>
    </row>
    <row r="99" spans="23:29" x14ac:dyDescent="0.25">
      <c r="X99" s="677"/>
      <c r="Y99" s="677"/>
      <c r="Z99" s="677"/>
      <c r="AA99" s="677"/>
      <c r="AB99" s="677"/>
      <c r="AC99" s="677"/>
    </row>
    <row r="100" spans="23:29" x14ac:dyDescent="0.25">
      <c r="X100" s="677"/>
      <c r="Y100" s="677"/>
      <c r="Z100" s="677"/>
      <c r="AA100" s="677"/>
      <c r="AB100" s="677"/>
      <c r="AC100" s="677"/>
    </row>
    <row r="101" spans="23:29" x14ac:dyDescent="0.25">
      <c r="W101" t="s">
        <v>298</v>
      </c>
      <c r="X101" s="677">
        <v>4.09</v>
      </c>
      <c r="Y101" s="677">
        <v>3.31</v>
      </c>
      <c r="Z101" s="677">
        <v>3.3</v>
      </c>
      <c r="AA101" s="677">
        <v>3.66</v>
      </c>
      <c r="AB101" s="677">
        <v>3.84</v>
      </c>
      <c r="AC101" s="677">
        <v>3.23</v>
      </c>
    </row>
    <row r="102" spans="23:29" x14ac:dyDescent="0.25">
      <c r="X102" s="677"/>
      <c r="Y102" s="677"/>
      <c r="Z102" s="677"/>
      <c r="AA102" s="677"/>
      <c r="AB102" s="677"/>
      <c r="AC102" s="677"/>
    </row>
    <row r="103" spans="23:29" x14ac:dyDescent="0.25">
      <c r="X103" s="677"/>
      <c r="Y103" s="677"/>
      <c r="Z103" s="677"/>
      <c r="AA103" s="677"/>
      <c r="AB103" s="677"/>
      <c r="AC103" s="677"/>
    </row>
    <row r="104" spans="23:29" x14ac:dyDescent="0.25">
      <c r="W104" t="s">
        <v>299</v>
      </c>
      <c r="X104" s="677">
        <v>4.16</v>
      </c>
      <c r="Y104" s="677">
        <v>3.12</v>
      </c>
      <c r="Z104" s="677">
        <v>3.15</v>
      </c>
      <c r="AA104" s="677">
        <v>3.49</v>
      </c>
      <c r="AB104" s="677">
        <v>3.69</v>
      </c>
      <c r="AC104" s="677">
        <v>2.9633333333333334</v>
      </c>
    </row>
    <row r="105" spans="23:29" x14ac:dyDescent="0.25">
      <c r="X105" s="677"/>
      <c r="Y105" s="677"/>
      <c r="Z105" s="677"/>
      <c r="AA105" s="677"/>
      <c r="AB105" s="677"/>
      <c r="AC105" s="677"/>
    </row>
    <row r="106" spans="23:29" x14ac:dyDescent="0.25">
      <c r="X106" s="677"/>
      <c r="Y106" s="677"/>
      <c r="Z106" s="677"/>
      <c r="AA106" s="677"/>
      <c r="AB106" s="677"/>
      <c r="AC106" s="677"/>
    </row>
    <row r="107" spans="23:29" x14ac:dyDescent="0.25">
      <c r="W107" t="s">
        <v>300</v>
      </c>
      <c r="X107" s="677">
        <v>3.99</v>
      </c>
      <c r="Y107" s="677">
        <v>3</v>
      </c>
      <c r="Z107" s="677">
        <v>3.05</v>
      </c>
      <c r="AA107" s="677">
        <v>3.48</v>
      </c>
      <c r="AB107" s="677">
        <v>3.55</v>
      </c>
      <c r="AC107" s="677">
        <v>2.84</v>
      </c>
    </row>
    <row r="110" spans="23:29" ht="13.8" x14ac:dyDescent="0.25">
      <c r="X110" s="730" t="s">
        <v>76</v>
      </c>
    </row>
    <row r="111" spans="23:29" ht="14.4" x14ac:dyDescent="0.25">
      <c r="X111" s="729" t="s">
        <v>275</v>
      </c>
      <c r="Y111" s="729" t="s">
        <v>276</v>
      </c>
      <c r="Z111" s="729" t="s">
        <v>277</v>
      </c>
      <c r="AA111" s="729" t="s">
        <v>278</v>
      </c>
      <c r="AB111" s="729" t="s">
        <v>279</v>
      </c>
      <c r="AC111" s="729" t="s">
        <v>280</v>
      </c>
    </row>
    <row r="113" spans="23:33" x14ac:dyDescent="0.25">
      <c r="X113" s="677"/>
      <c r="Y113" s="677"/>
      <c r="Z113" s="677"/>
      <c r="AA113" s="677"/>
      <c r="AB113" s="677"/>
      <c r="AC113" s="677"/>
    </row>
    <row r="114" spans="23:33" x14ac:dyDescent="0.25">
      <c r="X114" s="677"/>
      <c r="Y114" s="677"/>
      <c r="Z114" s="677"/>
      <c r="AA114" s="677"/>
      <c r="AB114" s="677"/>
      <c r="AC114" s="677"/>
    </row>
    <row r="115" spans="23:33" ht="15" x14ac:dyDescent="0.25">
      <c r="W115" t="s">
        <v>297</v>
      </c>
      <c r="X115" s="677">
        <v>3.31</v>
      </c>
      <c r="Y115" s="677">
        <v>2.92</v>
      </c>
      <c r="Z115" s="677">
        <v>2.7</v>
      </c>
      <c r="AA115" s="677">
        <v>3.25</v>
      </c>
      <c r="AB115" s="677">
        <v>3.29</v>
      </c>
      <c r="AC115" s="677">
        <v>2.6633333333333331</v>
      </c>
      <c r="AF115" s="681"/>
      <c r="AG115" s="681"/>
    </row>
    <row r="116" spans="23:33" ht="15" x14ac:dyDescent="0.25">
      <c r="X116" s="677"/>
      <c r="Y116" s="677"/>
      <c r="Z116" s="677"/>
      <c r="AA116" s="677"/>
      <c r="AB116" s="677"/>
      <c r="AC116" s="677"/>
      <c r="AF116" s="681"/>
      <c r="AG116" s="681"/>
    </row>
    <row r="117" spans="23:33" ht="15" x14ac:dyDescent="0.25">
      <c r="X117" s="677"/>
      <c r="Y117" s="677"/>
      <c r="Z117" s="677"/>
      <c r="AA117" s="677"/>
      <c r="AB117" s="677"/>
      <c r="AC117" s="677"/>
      <c r="AF117" s="681"/>
      <c r="AG117" s="681"/>
    </row>
    <row r="118" spans="23:33" ht="15" x14ac:dyDescent="0.25">
      <c r="W118" t="s">
        <v>298</v>
      </c>
      <c r="X118" s="677">
        <v>3.55</v>
      </c>
      <c r="Y118" s="677">
        <v>3.08</v>
      </c>
      <c r="Z118" s="677">
        <v>2.81</v>
      </c>
      <c r="AA118" s="677">
        <v>3.39</v>
      </c>
      <c r="AB118" s="677">
        <v>3.38</v>
      </c>
      <c r="AC118" s="677">
        <v>2.8800000000000003</v>
      </c>
      <c r="AF118" s="681"/>
      <c r="AG118" s="681"/>
    </row>
    <row r="119" spans="23:33" ht="15" x14ac:dyDescent="0.25">
      <c r="X119" s="677"/>
      <c r="Y119" s="677"/>
      <c r="Z119" s="677"/>
      <c r="AA119" s="677"/>
      <c r="AB119" s="677"/>
      <c r="AC119" s="677"/>
      <c r="AF119" s="681"/>
      <c r="AG119" s="681"/>
    </row>
    <row r="120" spans="23:33" ht="15" x14ac:dyDescent="0.25">
      <c r="X120" s="677"/>
      <c r="Y120" s="677"/>
      <c r="Z120" s="677"/>
      <c r="AA120" s="677"/>
      <c r="AB120" s="677"/>
      <c r="AC120" s="677"/>
      <c r="AF120" s="681"/>
      <c r="AG120" s="681"/>
    </row>
    <row r="121" spans="23:33" ht="15" x14ac:dyDescent="0.25">
      <c r="W121" t="s">
        <v>299</v>
      </c>
      <c r="X121" s="677">
        <v>3.49</v>
      </c>
      <c r="Y121" s="677">
        <v>2.92</v>
      </c>
      <c r="Z121" s="677">
        <v>2.7</v>
      </c>
      <c r="AA121" s="677">
        <v>3.25</v>
      </c>
      <c r="AB121" s="677">
        <v>3.32</v>
      </c>
      <c r="AC121" s="677">
        <v>2.813333333333333</v>
      </c>
      <c r="AF121" s="681"/>
      <c r="AG121" s="681"/>
    </row>
    <row r="122" spans="23:33" ht="15" x14ac:dyDescent="0.25">
      <c r="X122" s="677"/>
      <c r="Y122" s="677"/>
      <c r="Z122" s="677"/>
      <c r="AA122" s="677"/>
      <c r="AB122" s="677"/>
      <c r="AC122" s="677"/>
      <c r="AF122" s="681"/>
      <c r="AG122" s="681"/>
    </row>
    <row r="123" spans="23:33" ht="15" x14ac:dyDescent="0.25">
      <c r="X123" s="677"/>
      <c r="Y123" s="677"/>
      <c r="Z123" s="677"/>
      <c r="AA123" s="677"/>
      <c r="AB123" s="677"/>
      <c r="AC123" s="677"/>
      <c r="AF123" s="681"/>
      <c r="AG123" s="681"/>
    </row>
    <row r="124" spans="23:33" ht="15" x14ac:dyDescent="0.25">
      <c r="W124" t="s">
        <v>300</v>
      </c>
      <c r="X124" s="677">
        <v>3.55</v>
      </c>
      <c r="Y124" s="677">
        <v>2.95</v>
      </c>
      <c r="Z124" s="677">
        <v>2.73</v>
      </c>
      <c r="AA124" s="677">
        <v>3.29</v>
      </c>
      <c r="AB124" s="677">
        <v>3.33</v>
      </c>
      <c r="AC124" s="677">
        <v>2.72</v>
      </c>
      <c r="AF124" s="681"/>
      <c r="AG124" s="681"/>
    </row>
    <row r="125" spans="23:33" ht="15" x14ac:dyDescent="0.25">
      <c r="AF125" s="681"/>
      <c r="AG125" s="681"/>
    </row>
    <row r="126" spans="23:33" ht="15" x14ac:dyDescent="0.25">
      <c r="AF126" s="681"/>
      <c r="AG126" s="681"/>
    </row>
    <row r="132" spans="2:36" ht="15.6" x14ac:dyDescent="0.25">
      <c r="B132" s="864" t="s">
        <v>41</v>
      </c>
      <c r="C132" s="864"/>
      <c r="D132" s="864"/>
      <c r="E132" s="864"/>
      <c r="F132" s="864"/>
      <c r="G132" s="864"/>
      <c r="H132" s="864"/>
      <c r="I132" s="864"/>
      <c r="J132" s="864"/>
      <c r="K132" s="864"/>
      <c r="L132" s="864"/>
      <c r="M132" s="864"/>
      <c r="N132" s="864"/>
      <c r="O132" s="864"/>
      <c r="P132" s="864"/>
      <c r="Q132" s="864"/>
      <c r="R132" s="864"/>
      <c r="S132" s="864"/>
      <c r="T132" s="864"/>
    </row>
    <row r="133" spans="2:36" ht="15.6" x14ac:dyDescent="0.25">
      <c r="B133" s="864" t="s">
        <v>42</v>
      </c>
      <c r="C133" s="864"/>
      <c r="D133" s="864"/>
      <c r="E133" s="864"/>
      <c r="F133" s="864"/>
      <c r="G133" s="864"/>
      <c r="H133" s="864"/>
      <c r="I133" s="864"/>
      <c r="J133" s="864"/>
      <c r="K133" s="864"/>
      <c r="L133" s="864"/>
      <c r="M133" s="864"/>
      <c r="N133" s="864"/>
      <c r="O133" s="864"/>
      <c r="P133" s="864"/>
      <c r="Q133" s="864"/>
      <c r="R133" s="864"/>
      <c r="S133" s="864"/>
      <c r="T133" s="864"/>
    </row>
    <row r="134" spans="2:36" ht="15.6" x14ac:dyDescent="0.25">
      <c r="B134" s="864" t="s">
        <v>293</v>
      </c>
      <c r="C134" s="864"/>
      <c r="D134" s="864"/>
      <c r="E134" s="864"/>
      <c r="F134" s="864"/>
      <c r="G134" s="864"/>
      <c r="H134" s="864"/>
      <c r="I134" s="864"/>
      <c r="J134" s="864"/>
      <c r="K134" s="864"/>
      <c r="L134" s="864"/>
      <c r="M134" s="864"/>
      <c r="N134" s="864"/>
      <c r="O134" s="864"/>
      <c r="P134" s="864"/>
      <c r="Q134" s="864"/>
      <c r="R134" s="864"/>
      <c r="S134" s="864"/>
      <c r="T134" s="864"/>
    </row>
    <row r="135" spans="2:36" ht="15.6" x14ac:dyDescent="0.25">
      <c r="B135" s="864" t="s">
        <v>7</v>
      </c>
      <c r="C135" s="864"/>
      <c r="D135" s="864"/>
      <c r="E135" s="864"/>
      <c r="F135" s="864"/>
      <c r="G135" s="864"/>
      <c r="H135" s="864"/>
      <c r="I135" s="864"/>
      <c r="J135" s="864"/>
      <c r="K135" s="864"/>
      <c r="L135" s="864"/>
      <c r="M135" s="864"/>
      <c r="N135" s="864"/>
      <c r="O135" s="864"/>
      <c r="P135" s="864"/>
      <c r="Q135" s="864"/>
      <c r="R135" s="864"/>
      <c r="S135" s="864"/>
      <c r="T135" s="864"/>
    </row>
    <row r="137" spans="2:36" ht="15.6" x14ac:dyDescent="0.25">
      <c r="V137" s="864" t="s">
        <v>41</v>
      </c>
      <c r="W137" s="864"/>
      <c r="X137" s="864"/>
      <c r="Y137" s="864"/>
      <c r="Z137" s="864"/>
      <c r="AA137" s="864"/>
      <c r="AB137" s="864"/>
      <c r="AC137" s="864"/>
      <c r="AD137" s="864"/>
      <c r="AE137" s="864"/>
    </row>
    <row r="138" spans="2:36" ht="15.6" x14ac:dyDescent="0.25">
      <c r="V138" s="864" t="s">
        <v>42</v>
      </c>
      <c r="W138" s="864"/>
      <c r="X138" s="864"/>
      <c r="Y138" s="864"/>
      <c r="Z138" s="864"/>
      <c r="AA138" s="864"/>
      <c r="AB138" s="864"/>
      <c r="AC138" s="864"/>
      <c r="AD138" s="864"/>
      <c r="AE138" s="864"/>
    </row>
    <row r="139" spans="2:36" ht="15.6" x14ac:dyDescent="0.25">
      <c r="V139" s="864" t="s">
        <v>292</v>
      </c>
      <c r="W139" s="864"/>
      <c r="X139" s="864"/>
      <c r="Y139" s="864"/>
      <c r="Z139" s="864"/>
      <c r="AA139" s="864"/>
      <c r="AB139" s="864"/>
      <c r="AC139" s="864"/>
      <c r="AD139" s="864"/>
      <c r="AE139" s="864"/>
    </row>
    <row r="140" spans="2:36" ht="15.6" x14ac:dyDescent="0.25">
      <c r="V140" s="864" t="s">
        <v>7</v>
      </c>
      <c r="W140" s="864"/>
      <c r="X140" s="864"/>
      <c r="Y140" s="864"/>
      <c r="Z140" s="864"/>
      <c r="AA140" s="864"/>
      <c r="AB140" s="864"/>
      <c r="AC140" s="864"/>
      <c r="AD140" s="864"/>
      <c r="AE140" s="864"/>
    </row>
    <row r="141" spans="2:36" ht="15.6" x14ac:dyDescent="0.25">
      <c r="V141" s="778"/>
      <c r="W141" s="778"/>
      <c r="X141" s="778" t="s">
        <v>281</v>
      </c>
      <c r="Y141" s="778"/>
      <c r="Z141" s="778"/>
      <c r="AA141" s="778"/>
      <c r="AB141" s="778"/>
      <c r="AC141" s="778"/>
      <c r="AD141" s="778"/>
      <c r="AE141" s="778"/>
    </row>
    <row r="142" spans="2:36" ht="14.4" x14ac:dyDescent="0.25">
      <c r="X142" s="729" t="s">
        <v>275</v>
      </c>
      <c r="Y142" s="729" t="s">
        <v>276</v>
      </c>
      <c r="Z142" s="729" t="s">
        <v>277</v>
      </c>
      <c r="AA142" s="729" t="s">
        <v>278</v>
      </c>
      <c r="AB142" s="729" t="s">
        <v>279</v>
      </c>
      <c r="AC142" s="729" t="s">
        <v>280</v>
      </c>
    </row>
    <row r="143" spans="2:36" x14ac:dyDescent="0.25">
      <c r="AH143" s="677"/>
      <c r="AI143" s="677"/>
      <c r="AJ143" s="677"/>
    </row>
    <row r="144" spans="2:36" x14ac:dyDescent="0.25">
      <c r="W144" t="s">
        <v>144</v>
      </c>
      <c r="X144" s="677">
        <v>4.0055239842771009</v>
      </c>
      <c r="Y144" s="677">
        <v>3.28</v>
      </c>
      <c r="Z144" s="677">
        <v>3.3692215266406538</v>
      </c>
      <c r="AA144" s="677">
        <v>3.8785913039500843</v>
      </c>
      <c r="AB144" s="677">
        <v>3.8049999999999997</v>
      </c>
      <c r="AC144" s="677">
        <v>3.0661740000000002</v>
      </c>
      <c r="AH144" s="677"/>
      <c r="AI144" s="677"/>
      <c r="AJ144" s="677"/>
    </row>
    <row r="145" spans="23:36" x14ac:dyDescent="0.25">
      <c r="W145" t="s">
        <v>87</v>
      </c>
      <c r="X145" s="677">
        <v>4.151070082721338</v>
      </c>
      <c r="Y145" s="677">
        <v>3.4420000000000002</v>
      </c>
      <c r="Z145" s="677">
        <v>3.4056233907230107</v>
      </c>
      <c r="AA145" s="677">
        <v>4.0295914662745904</v>
      </c>
      <c r="AB145" s="677">
        <v>3.8579999999999997</v>
      </c>
      <c r="AC145" s="677">
        <v>3.1418819999999998</v>
      </c>
      <c r="AH145" s="677"/>
      <c r="AI145" s="677"/>
      <c r="AJ145" s="677"/>
    </row>
    <row r="146" spans="23:36" x14ac:dyDescent="0.25">
      <c r="W146" t="s">
        <v>88</v>
      </c>
      <c r="X146" s="677">
        <v>4.1848726688403186</v>
      </c>
      <c r="Y146" s="677">
        <v>3.3845000000000001</v>
      </c>
      <c r="Z146" s="677">
        <v>3.3423359686004064</v>
      </c>
      <c r="AA146" s="677">
        <v>3.9471875205499978</v>
      </c>
      <c r="AB146" s="677">
        <v>3.7925</v>
      </c>
      <c r="AC146" s="677">
        <v>3.0283200000000003</v>
      </c>
      <c r="AH146" s="677"/>
      <c r="AI146" s="677"/>
      <c r="AJ146" s="677"/>
    </row>
    <row r="147" spans="23:36" x14ac:dyDescent="0.25">
      <c r="W147" t="s">
        <v>89</v>
      </c>
      <c r="X147" s="677">
        <v>4.2560112059900792</v>
      </c>
      <c r="Y147" s="677">
        <v>3.5174999999999996</v>
      </c>
      <c r="Z147" s="677">
        <v>3.5412822026715345</v>
      </c>
      <c r="AA147" s="677">
        <v>4.0093777638161336</v>
      </c>
      <c r="AB147" s="677">
        <v>3.99</v>
      </c>
      <c r="AC147" s="677">
        <v>3.21759</v>
      </c>
      <c r="AH147" s="677"/>
      <c r="AI147" s="677"/>
      <c r="AJ147" s="677"/>
    </row>
    <row r="148" spans="23:36" x14ac:dyDescent="0.25">
      <c r="W148" t="s">
        <v>90</v>
      </c>
      <c r="X148" s="677">
        <v>4.3571366340830533</v>
      </c>
      <c r="Y148" s="677">
        <v>3.6518000000000002</v>
      </c>
      <c r="Z148" s="677">
        <v>3.6714270178126824</v>
      </c>
      <c r="AA148" s="677">
        <v>4.0886108488468667</v>
      </c>
      <c r="AB148" s="677">
        <v>4.0839999999999996</v>
      </c>
      <c r="AC148" s="677">
        <v>3.3690060000000002</v>
      </c>
      <c r="AH148" s="677"/>
      <c r="AI148" s="677"/>
      <c r="AJ148" s="677"/>
    </row>
    <row r="149" spans="23:36" x14ac:dyDescent="0.25">
      <c r="W149" t="s">
        <v>91</v>
      </c>
      <c r="X149" s="677">
        <v>4.4836305001225423</v>
      </c>
      <c r="Y149" s="677">
        <v>3.7749999999999999</v>
      </c>
      <c r="Z149" s="677">
        <v>3.6156099945564453</v>
      </c>
      <c r="AA149" s="677">
        <v>4.171798489872133</v>
      </c>
      <c r="AB149" s="677">
        <v>4.0649999999999995</v>
      </c>
      <c r="AC149" s="677">
        <v>3.3690060000000002</v>
      </c>
      <c r="AH149" s="677"/>
      <c r="AI149" s="677"/>
      <c r="AJ149" s="677"/>
    </row>
    <row r="150" spans="23:36" x14ac:dyDescent="0.25">
      <c r="W150" t="s">
        <v>93</v>
      </c>
      <c r="X150" s="677">
        <v>4.4996659943406261</v>
      </c>
      <c r="Y150" s="677">
        <v>3.6775000000000002</v>
      </c>
      <c r="Z150" s="677">
        <v>3.6113895032152543</v>
      </c>
      <c r="AA150" s="677">
        <v>4.1168468081141159</v>
      </c>
      <c r="AB150" s="677">
        <v>4.0424999999999995</v>
      </c>
      <c r="AC150" s="677">
        <v>3.2932980000000001</v>
      </c>
      <c r="AH150" s="677"/>
      <c r="AI150" s="677"/>
      <c r="AJ150" s="677"/>
    </row>
    <row r="151" spans="23:36" x14ac:dyDescent="0.25">
      <c r="W151" t="s">
        <v>94</v>
      </c>
      <c r="X151" s="677">
        <v>4.4867299014800333</v>
      </c>
      <c r="Y151" s="677">
        <v>3.6640000000000001</v>
      </c>
      <c r="Z151" s="677">
        <v>3.6032837919101679</v>
      </c>
      <c r="AA151" s="677">
        <v>4.1252908001027464</v>
      </c>
      <c r="AB151" s="677">
        <v>4.0260000000000007</v>
      </c>
      <c r="AC151" s="677">
        <v>3.2932980000000001</v>
      </c>
      <c r="AH151" s="677"/>
      <c r="AI151" s="677"/>
      <c r="AJ151" s="677"/>
    </row>
    <row r="152" spans="23:36" x14ac:dyDescent="0.25">
      <c r="W152" t="s">
        <v>101</v>
      </c>
      <c r="X152" s="677">
        <v>4.4251489659799068</v>
      </c>
      <c r="Y152" s="677">
        <v>3.6274999999999999</v>
      </c>
      <c r="Z152" s="677">
        <v>3.5727876520355077</v>
      </c>
      <c r="AA152" s="677">
        <v>4.1252144580356935</v>
      </c>
      <c r="AB152" s="677">
        <v>4.0449999999999999</v>
      </c>
      <c r="AC152" s="677">
        <v>3.2554440000000002</v>
      </c>
      <c r="AH152" s="677"/>
      <c r="AI152" s="677"/>
      <c r="AJ152" s="677"/>
    </row>
    <row r="153" spans="23:36" x14ac:dyDescent="0.25">
      <c r="W153" t="s">
        <v>95</v>
      </c>
      <c r="X153" s="677">
        <v>4.3123428730200235</v>
      </c>
      <c r="Y153" s="677">
        <v>3.7079999999999997</v>
      </c>
      <c r="Z153" s="677">
        <v>3.5814934730693793</v>
      </c>
      <c r="AA153" s="677">
        <v>4.2039448629608973</v>
      </c>
      <c r="AB153" s="677">
        <v>4.1659999999999995</v>
      </c>
      <c r="AC153" s="677">
        <v>3.3311519999999999</v>
      </c>
      <c r="AH153" s="677"/>
      <c r="AI153" s="677"/>
      <c r="AJ153" s="677"/>
    </row>
    <row r="154" spans="23:36" x14ac:dyDescent="0.25">
      <c r="W154" t="s">
        <v>96</v>
      </c>
      <c r="X154" s="677">
        <v>4.2879680444256456</v>
      </c>
      <c r="Y154" s="677">
        <v>3.52</v>
      </c>
      <c r="Z154" s="677">
        <v>3.354297983967113</v>
      </c>
      <c r="AA154" s="677">
        <v>4.0587489456132966</v>
      </c>
      <c r="AB154" s="677">
        <v>4.0325000000000006</v>
      </c>
      <c r="AC154" s="677">
        <v>3.0283200000000003</v>
      </c>
      <c r="AH154" s="677"/>
      <c r="AI154" s="677"/>
      <c r="AJ154" s="677"/>
    </row>
    <row r="155" spans="23:36" x14ac:dyDescent="0.25">
      <c r="W155" t="s">
        <v>97</v>
      </c>
      <c r="X155" s="677">
        <v>4.0042290596152252</v>
      </c>
      <c r="Y155" s="677">
        <v>3.1339999999999999</v>
      </c>
      <c r="Z155" s="677">
        <v>2.9889966753548194</v>
      </c>
      <c r="AA155" s="677">
        <v>3.7255327885674254</v>
      </c>
      <c r="AB155" s="677">
        <v>3.5620000000000003</v>
      </c>
      <c r="AC155" s="677">
        <v>2.7633420000000002</v>
      </c>
      <c r="AH155" s="677"/>
      <c r="AI155" s="677"/>
      <c r="AJ155" s="677"/>
    </row>
    <row r="156" spans="23:36" x14ac:dyDescent="0.25">
      <c r="Z156" s="677"/>
    </row>
    <row r="158" spans="23:36" ht="15.6" x14ac:dyDescent="0.25">
      <c r="X158" s="778" t="s">
        <v>282</v>
      </c>
    </row>
    <row r="159" spans="23:36" ht="14.4" x14ac:dyDescent="0.25">
      <c r="X159" s="729" t="s">
        <v>275</v>
      </c>
      <c r="Y159" s="729" t="s">
        <v>276</v>
      </c>
      <c r="Z159" s="729" t="s">
        <v>277</v>
      </c>
      <c r="AA159" s="729" t="s">
        <v>278</v>
      </c>
      <c r="AB159" s="729" t="s">
        <v>279</v>
      </c>
      <c r="AC159" s="729" t="s">
        <v>280</v>
      </c>
    </row>
    <row r="161" spans="23:29" x14ac:dyDescent="0.25">
      <c r="W161" t="s">
        <v>144</v>
      </c>
      <c r="X161" s="677">
        <v>3.9299785588401157</v>
      </c>
      <c r="Y161" s="677">
        <v>3.105</v>
      </c>
      <c r="Z161" s="677">
        <v>3.5458327553634601</v>
      </c>
      <c r="AA161" s="677">
        <v>3.68</v>
      </c>
      <c r="AB161" s="677">
        <v>2.9204453580000003</v>
      </c>
      <c r="AC161" s="677">
        <v>2.9526120000000002</v>
      </c>
    </row>
    <row r="162" spans="23:29" x14ac:dyDescent="0.25">
      <c r="W162" t="s">
        <v>87</v>
      </c>
      <c r="X162" s="677">
        <v>4.0078342445742265</v>
      </c>
      <c r="Y162" s="677">
        <v>3.2399999999999998</v>
      </c>
      <c r="Z162" s="677">
        <v>3.6887942415423907</v>
      </c>
      <c r="AA162" s="677">
        <v>3.7119999999999997</v>
      </c>
      <c r="AB162" s="677">
        <v>3.0147021167999997</v>
      </c>
      <c r="AC162" s="677">
        <v>3.0283200000000003</v>
      </c>
    </row>
    <row r="163" spans="23:29" x14ac:dyDescent="0.25">
      <c r="W163" t="s">
        <v>88</v>
      </c>
      <c r="X163" s="677">
        <v>4.042496588266328</v>
      </c>
      <c r="Y163" s="677">
        <v>3.1702500000000002</v>
      </c>
      <c r="Z163" s="677">
        <v>3.6043043130276806</v>
      </c>
      <c r="AA163" s="677">
        <v>3.6575000000000002</v>
      </c>
      <c r="AB163" s="677">
        <v>2.9299088880000004</v>
      </c>
      <c r="AC163" s="677">
        <v>2.914758</v>
      </c>
    </row>
    <row r="164" spans="23:29" x14ac:dyDescent="0.25">
      <c r="W164" t="s">
        <v>89</v>
      </c>
      <c r="X164" s="677">
        <v>4.0838345181907494</v>
      </c>
      <c r="Y164" s="677">
        <v>3.29</v>
      </c>
      <c r="Z164" s="677">
        <v>3.6587924803987404</v>
      </c>
      <c r="AA164" s="677">
        <v>3.8424999999999998</v>
      </c>
      <c r="AB164" s="677">
        <v>3.0605056020000001</v>
      </c>
      <c r="AC164" s="677">
        <v>3.104028</v>
      </c>
    </row>
    <row r="165" spans="23:29" x14ac:dyDescent="0.25">
      <c r="W165" t="s">
        <v>90</v>
      </c>
      <c r="X165" s="677">
        <v>4.1669914549822575</v>
      </c>
      <c r="Y165" s="677">
        <v>3.4176000000000002</v>
      </c>
      <c r="Z165" s="677">
        <v>3.7399713780958121</v>
      </c>
      <c r="AA165" s="677">
        <v>3.9880000000000004</v>
      </c>
      <c r="AB165" s="677">
        <v>3.2155943248000001</v>
      </c>
      <c r="AC165" s="677">
        <v>3.2932980000000001</v>
      </c>
    </row>
    <row r="166" spans="23:29" x14ac:dyDescent="0.25">
      <c r="W166" t="s">
        <v>91</v>
      </c>
      <c r="X166" s="677">
        <v>4.3285038213808154</v>
      </c>
      <c r="Y166" s="677">
        <v>3.5249999999999999</v>
      </c>
      <c r="Z166" s="677">
        <v>3.8037344469350938</v>
      </c>
      <c r="AA166" s="677">
        <v>3.98</v>
      </c>
      <c r="AB166" s="677">
        <v>3.2743813799999999</v>
      </c>
      <c r="AC166" s="677">
        <v>3.2554440000000002</v>
      </c>
    </row>
    <row r="167" spans="23:29" x14ac:dyDescent="0.25">
      <c r="W167" t="s">
        <v>93</v>
      </c>
      <c r="X167" s="677">
        <v>4.3263650012440547</v>
      </c>
      <c r="Y167" s="677">
        <v>3.4307499999999997</v>
      </c>
      <c r="Z167" s="677">
        <v>3.7494398918429255</v>
      </c>
      <c r="AA167" s="677">
        <v>3.9649999999999999</v>
      </c>
      <c r="AB167" s="677">
        <v>3.2232783179999998</v>
      </c>
      <c r="AC167" s="677">
        <v>3.21759</v>
      </c>
    </row>
    <row r="168" spans="23:29" x14ac:dyDescent="0.25">
      <c r="W168" t="s">
        <v>94</v>
      </c>
      <c r="X168" s="677">
        <v>4.3360259112940334</v>
      </c>
      <c r="Y168" s="677">
        <v>3.4460000000000002</v>
      </c>
      <c r="Z168" s="677">
        <v>3.7803195277795951</v>
      </c>
      <c r="AA168" s="677">
        <v>3.9540000000000006</v>
      </c>
      <c r="AB168" s="677">
        <v>3.2403126720000004</v>
      </c>
      <c r="AC168" s="677">
        <v>3.21759</v>
      </c>
    </row>
    <row r="169" spans="23:29" x14ac:dyDescent="0.25">
      <c r="W169" t="s">
        <v>101</v>
      </c>
      <c r="X169" s="677">
        <v>4.3110348670027285</v>
      </c>
      <c r="Y169" s="677">
        <v>3.4350000000000001</v>
      </c>
      <c r="Z169" s="677">
        <v>3.8056496334308245</v>
      </c>
      <c r="AA169" s="677">
        <v>3.9350000000000001</v>
      </c>
      <c r="AB169" s="677">
        <v>3.210029376</v>
      </c>
      <c r="AC169" s="677">
        <v>3.1797360000000001</v>
      </c>
    </row>
    <row r="170" spans="23:29" x14ac:dyDescent="0.25">
      <c r="W170" t="s">
        <v>95</v>
      </c>
      <c r="X170" s="677">
        <v>4.2045343011945224</v>
      </c>
      <c r="Y170" s="677">
        <v>3.4840000000000004</v>
      </c>
      <c r="Z170" s="677">
        <v>3.8506465961378415</v>
      </c>
      <c r="AA170" s="677">
        <v>3.996</v>
      </c>
      <c r="AB170" s="677">
        <v>3.2758955448</v>
      </c>
      <c r="AC170" s="677">
        <v>3.21759</v>
      </c>
    </row>
    <row r="171" spans="23:29" x14ac:dyDescent="0.25">
      <c r="W171" t="s">
        <v>96</v>
      </c>
      <c r="X171" s="677">
        <v>4.1649388305852577</v>
      </c>
      <c r="Y171" s="677">
        <v>3.2949999999999999</v>
      </c>
      <c r="Z171" s="677">
        <v>3.7082644128900561</v>
      </c>
      <c r="AA171" s="677">
        <v>3.8824999999999998</v>
      </c>
      <c r="AB171" s="677">
        <v>3.0368467770000001</v>
      </c>
      <c r="AC171" s="677">
        <v>2.8769040000000001</v>
      </c>
    </row>
    <row r="172" spans="23:29" x14ac:dyDescent="0.25">
      <c r="W172" t="s">
        <v>97</v>
      </c>
      <c r="X172" s="677">
        <v>3.9350822469688089</v>
      </c>
      <c r="Y172" s="677">
        <v>2.9140000000000006</v>
      </c>
      <c r="Z172" s="677">
        <v>3.3691389324774148</v>
      </c>
      <c r="AA172" s="677">
        <v>3.4119999999999999</v>
      </c>
      <c r="AB172" s="677">
        <v>2.6914279319999994</v>
      </c>
      <c r="AC172" s="677">
        <v>2.6497799999999998</v>
      </c>
    </row>
    <row r="175" spans="23:29" ht="13.8" x14ac:dyDescent="0.25">
      <c r="X175" s="730" t="s">
        <v>76</v>
      </c>
    </row>
    <row r="176" spans="23:29" ht="14.4" x14ac:dyDescent="0.25">
      <c r="X176" s="729" t="s">
        <v>275</v>
      </c>
      <c r="Y176" s="729" t="s">
        <v>276</v>
      </c>
      <c r="Z176" s="729" t="s">
        <v>277</v>
      </c>
      <c r="AA176" s="729" t="s">
        <v>278</v>
      </c>
      <c r="AB176" s="729" t="s">
        <v>279</v>
      </c>
      <c r="AC176" s="729" t="s">
        <v>280</v>
      </c>
    </row>
    <row r="178" spans="23:29" x14ac:dyDescent="0.25">
      <c r="W178" t="s">
        <v>144</v>
      </c>
      <c r="X178" s="677">
        <v>3.4064265443459583</v>
      </c>
      <c r="Y178" s="677">
        <v>2.9675000000000002</v>
      </c>
      <c r="Z178" s="677">
        <v>2.8123970355049654</v>
      </c>
      <c r="AA178" s="677">
        <v>3.2477914264269168</v>
      </c>
      <c r="AB178" s="677">
        <v>3.34</v>
      </c>
      <c r="AC178" s="677">
        <v>2.7633420000000002</v>
      </c>
    </row>
    <row r="179" spans="23:29" x14ac:dyDescent="0.25">
      <c r="W179" t="s">
        <v>87</v>
      </c>
      <c r="X179" s="677">
        <v>3.5425421250237932</v>
      </c>
      <c r="Y179" s="677">
        <v>3.0259999999999998</v>
      </c>
      <c r="Z179" s="677">
        <v>2.7909471371796251</v>
      </c>
      <c r="AA179" s="677">
        <v>3.3647658443973567</v>
      </c>
      <c r="AB179" s="677">
        <v>3.2939999999999996</v>
      </c>
      <c r="AC179" s="677">
        <v>2.7633420000000002</v>
      </c>
    </row>
    <row r="180" spans="23:29" x14ac:dyDescent="0.25">
      <c r="W180" t="s">
        <v>88</v>
      </c>
      <c r="X180" s="677">
        <v>3.569018218021184</v>
      </c>
      <c r="Y180" s="677">
        <v>2.9557500000000001</v>
      </c>
      <c r="Z180" s="677">
        <v>2.6880391059755224</v>
      </c>
      <c r="AA180" s="677">
        <v>3.278762767847609</v>
      </c>
      <c r="AB180" s="677">
        <v>3.2149999999999999</v>
      </c>
      <c r="AC180" s="677">
        <v>2.6497799999999998</v>
      </c>
    </row>
    <row r="181" spans="23:29" x14ac:dyDescent="0.25">
      <c r="W181" t="s">
        <v>89</v>
      </c>
      <c r="X181" s="677">
        <v>3.5433489356118342</v>
      </c>
      <c r="Y181" s="677">
        <v>3.0249999999999999</v>
      </c>
      <c r="Z181" s="677">
        <v>2.8674159560945198</v>
      </c>
      <c r="AA181" s="677">
        <v>3.3181767462025196</v>
      </c>
      <c r="AB181" s="677">
        <v>3.3925000000000001</v>
      </c>
      <c r="AC181" s="677">
        <v>2.7633420000000002</v>
      </c>
    </row>
    <row r="182" spans="23:29" x14ac:dyDescent="0.25">
      <c r="W182" t="s">
        <v>90</v>
      </c>
      <c r="X182" s="677">
        <v>3.5738677819057565</v>
      </c>
      <c r="Y182" s="677">
        <v>3.2067999999999999</v>
      </c>
      <c r="Z182" s="677">
        <v>2.9702043377587071</v>
      </c>
      <c r="AA182" s="677">
        <v>3.4433314898571963</v>
      </c>
      <c r="AB182" s="677">
        <v>3.4900000000000007</v>
      </c>
      <c r="AC182" s="677">
        <v>2.9526120000000002</v>
      </c>
    </row>
    <row r="183" spans="23:29" x14ac:dyDescent="0.25">
      <c r="W183" t="s">
        <v>91</v>
      </c>
      <c r="X183" s="677">
        <v>3.730224072584214</v>
      </c>
      <c r="Y183" s="677">
        <v>3.3274999999999997</v>
      </c>
      <c r="Z183" s="677">
        <v>2.9531495747591738</v>
      </c>
      <c r="AA183" s="677">
        <v>3.5454168617285244</v>
      </c>
      <c r="AB183" s="677">
        <v>3.4824999999999999</v>
      </c>
      <c r="AC183" s="677">
        <v>2.9526120000000002</v>
      </c>
    </row>
    <row r="184" spans="23:29" x14ac:dyDescent="0.25">
      <c r="W184" t="s">
        <v>93</v>
      </c>
      <c r="X184" s="677">
        <v>3.6856915801069468</v>
      </c>
      <c r="Y184" s="677">
        <v>3.3200000000000003</v>
      </c>
      <c r="Z184" s="677">
        <v>2.961384752247743</v>
      </c>
      <c r="AA184" s="677">
        <v>3.4911120733391163</v>
      </c>
      <c r="AB184" s="677">
        <v>3.4675000000000002</v>
      </c>
      <c r="AC184" s="677">
        <v>2.914758</v>
      </c>
    </row>
    <row r="185" spans="23:29" x14ac:dyDescent="0.25">
      <c r="W185" t="s">
        <v>94</v>
      </c>
      <c r="X185" s="677">
        <v>3.6825231447275946</v>
      </c>
      <c r="Y185" s="677">
        <v>3.2479999999999998</v>
      </c>
      <c r="Z185" s="677">
        <v>2.9361247631401572</v>
      </c>
      <c r="AA185" s="677">
        <v>3.4782440625286801</v>
      </c>
      <c r="AB185" s="677">
        <v>3.4760000000000004</v>
      </c>
      <c r="AC185" s="677">
        <v>2.914758</v>
      </c>
    </row>
    <row r="186" spans="23:29" x14ac:dyDescent="0.25">
      <c r="W186" t="s">
        <v>101</v>
      </c>
      <c r="X186" s="677">
        <v>3.6689573756185712</v>
      </c>
      <c r="Y186" s="677">
        <v>3.3000000000000003</v>
      </c>
      <c r="Z186" s="677">
        <v>3.0054258350032184</v>
      </c>
      <c r="AA186" s="677">
        <v>3.5238791551973465</v>
      </c>
      <c r="AB186" s="677">
        <v>3.645</v>
      </c>
      <c r="AC186" s="677">
        <v>2.9526120000000002</v>
      </c>
    </row>
    <row r="187" spans="23:29" x14ac:dyDescent="0.25">
      <c r="W187" t="s">
        <v>95</v>
      </c>
      <c r="X187" s="677">
        <v>3.7103794017586949</v>
      </c>
      <c r="Y187" s="677">
        <v>3.4259999999999997</v>
      </c>
      <c r="Z187" s="677">
        <v>3.1327430024676923</v>
      </c>
      <c r="AA187" s="677">
        <v>3.6388999065363214</v>
      </c>
      <c r="AB187" s="677">
        <v>3.774</v>
      </c>
      <c r="AC187" s="677">
        <v>3.104028</v>
      </c>
    </row>
    <row r="188" spans="23:29" x14ac:dyDescent="0.25">
      <c r="W188" t="s">
        <v>96</v>
      </c>
      <c r="X188" s="677">
        <v>3.6965944723029134</v>
      </c>
      <c r="Y188" s="677">
        <v>3.3349999999999995</v>
      </c>
      <c r="Z188" s="677">
        <v>3.0128173577668473</v>
      </c>
      <c r="AA188" s="677">
        <v>3.5970804902086924</v>
      </c>
      <c r="AB188" s="677">
        <v>3.69</v>
      </c>
      <c r="AC188" s="677">
        <v>2.9526120000000002</v>
      </c>
    </row>
    <row r="189" spans="23:29" x14ac:dyDescent="0.25">
      <c r="W189" t="s">
        <v>97</v>
      </c>
      <c r="X189" s="677">
        <v>3.6860156547185845</v>
      </c>
      <c r="Y189" s="677">
        <v>3.0054973767864985</v>
      </c>
      <c r="Z189" s="677">
        <v>2.7134224882349272</v>
      </c>
      <c r="AA189" s="677">
        <v>3.3391062018446105</v>
      </c>
      <c r="AB189" s="677">
        <v>3.3200000000000003</v>
      </c>
      <c r="AC189" s="677">
        <v>2.611926</v>
      </c>
    </row>
    <row r="197" spans="2:32" ht="15.6" x14ac:dyDescent="0.25">
      <c r="B197" s="864" t="s">
        <v>41</v>
      </c>
      <c r="C197" s="864"/>
      <c r="D197" s="864"/>
      <c r="E197" s="864"/>
      <c r="F197" s="864"/>
      <c r="G197" s="864"/>
      <c r="H197" s="864"/>
      <c r="I197" s="864"/>
      <c r="J197" s="864"/>
      <c r="K197" s="864"/>
      <c r="L197" s="864"/>
      <c r="M197" s="864"/>
      <c r="N197" s="864"/>
      <c r="O197" s="864"/>
      <c r="P197" s="864"/>
      <c r="Q197" s="864"/>
      <c r="R197" s="864"/>
      <c r="S197" s="864"/>
      <c r="T197" s="864"/>
    </row>
    <row r="198" spans="2:32" ht="15.6" x14ac:dyDescent="0.25">
      <c r="B198" s="864" t="s">
        <v>42</v>
      </c>
      <c r="C198" s="864"/>
      <c r="D198" s="864"/>
      <c r="E198" s="864"/>
      <c r="F198" s="864"/>
      <c r="G198" s="864"/>
      <c r="H198" s="864"/>
      <c r="I198" s="864"/>
      <c r="J198" s="864"/>
      <c r="K198" s="864"/>
      <c r="L198" s="864"/>
      <c r="M198" s="864"/>
      <c r="N198" s="864"/>
      <c r="O198" s="864"/>
      <c r="P198" s="864"/>
      <c r="Q198" s="864"/>
      <c r="R198" s="864"/>
      <c r="S198" s="864"/>
      <c r="T198" s="864"/>
    </row>
    <row r="199" spans="2:32" ht="15.6" x14ac:dyDescent="0.25">
      <c r="B199" s="864" t="s">
        <v>287</v>
      </c>
      <c r="C199" s="864"/>
      <c r="D199" s="864"/>
      <c r="E199" s="864"/>
      <c r="F199" s="864"/>
      <c r="G199" s="864"/>
      <c r="H199" s="864"/>
      <c r="I199" s="864"/>
      <c r="J199" s="864"/>
      <c r="K199" s="864"/>
      <c r="L199" s="864"/>
      <c r="M199" s="864"/>
      <c r="N199" s="864"/>
      <c r="O199" s="864"/>
      <c r="P199" s="864"/>
      <c r="Q199" s="864"/>
      <c r="R199" s="864"/>
      <c r="S199" s="864"/>
      <c r="T199" s="864"/>
    </row>
    <row r="200" spans="2:32" ht="15.6" x14ac:dyDescent="0.25">
      <c r="B200" s="864" t="s">
        <v>7</v>
      </c>
      <c r="C200" s="864"/>
      <c r="D200" s="864"/>
      <c r="E200" s="864"/>
      <c r="F200" s="864"/>
      <c r="G200" s="864"/>
      <c r="H200" s="864"/>
      <c r="I200" s="864"/>
      <c r="J200" s="864"/>
      <c r="K200" s="864"/>
      <c r="L200" s="864"/>
      <c r="M200" s="864"/>
      <c r="N200" s="864"/>
      <c r="O200" s="864"/>
      <c r="P200" s="864"/>
      <c r="Q200" s="864"/>
      <c r="R200" s="864"/>
      <c r="S200" s="864"/>
      <c r="T200" s="864"/>
    </row>
    <row r="202" spans="2:32" ht="15.6" x14ac:dyDescent="0.25">
      <c r="V202" s="864" t="s">
        <v>41</v>
      </c>
      <c r="W202" s="864"/>
      <c r="X202" s="864"/>
      <c r="Y202" s="864"/>
      <c r="Z202" s="864"/>
      <c r="AA202" s="864"/>
      <c r="AB202" s="864"/>
      <c r="AC202" s="864"/>
      <c r="AD202" s="864"/>
      <c r="AE202" s="864"/>
    </row>
    <row r="203" spans="2:32" ht="15.6" x14ac:dyDescent="0.25">
      <c r="V203" s="864" t="s">
        <v>42</v>
      </c>
      <c r="W203" s="864"/>
      <c r="X203" s="864"/>
      <c r="Y203" s="864"/>
      <c r="Z203" s="864"/>
      <c r="AA203" s="864"/>
      <c r="AB203" s="864"/>
      <c r="AC203" s="864"/>
      <c r="AD203" s="864"/>
      <c r="AE203" s="864"/>
    </row>
    <row r="204" spans="2:32" ht="15.6" x14ac:dyDescent="0.25">
      <c r="V204" s="864" t="s">
        <v>287</v>
      </c>
      <c r="W204" s="864"/>
      <c r="X204" s="864"/>
      <c r="Y204" s="864"/>
      <c r="Z204" s="864"/>
      <c r="AA204" s="864"/>
      <c r="AB204" s="864"/>
      <c r="AC204" s="864"/>
      <c r="AD204" s="864"/>
      <c r="AE204" s="864"/>
    </row>
    <row r="205" spans="2:32" ht="15.6" x14ac:dyDescent="0.25">
      <c r="V205" s="864" t="s">
        <v>7</v>
      </c>
      <c r="W205" s="864"/>
      <c r="X205" s="864"/>
      <c r="Y205" s="864"/>
      <c r="Z205" s="864"/>
      <c r="AA205" s="864"/>
      <c r="AB205" s="864"/>
      <c r="AC205" s="864"/>
      <c r="AD205" s="864"/>
      <c r="AE205" s="864"/>
    </row>
    <row r="206" spans="2:32" ht="15.6" x14ac:dyDescent="0.25">
      <c r="V206" s="746"/>
      <c r="W206" s="746"/>
      <c r="X206" s="746" t="s">
        <v>281</v>
      </c>
      <c r="Y206" s="746"/>
      <c r="Z206" s="746"/>
      <c r="AA206" s="746"/>
      <c r="AB206" s="746"/>
      <c r="AC206" s="746"/>
      <c r="AD206" s="746"/>
      <c r="AE206" s="746"/>
    </row>
    <row r="207" spans="2:32" ht="14.4" x14ac:dyDescent="0.25">
      <c r="X207" s="729" t="s">
        <v>275</v>
      </c>
      <c r="Y207" s="729" t="s">
        <v>276</v>
      </c>
      <c r="Z207" s="729" t="s">
        <v>277</v>
      </c>
      <c r="AA207" s="729" t="s">
        <v>278</v>
      </c>
      <c r="AB207" s="729" t="s">
        <v>279</v>
      </c>
      <c r="AC207" s="729" t="s">
        <v>280</v>
      </c>
      <c r="AF207" s="677"/>
    </row>
    <row r="208" spans="2:32" ht="12.75" customHeight="1" x14ac:dyDescent="0.25">
      <c r="AF208" s="677"/>
    </row>
    <row r="209" spans="23:32" x14ac:dyDescent="0.25">
      <c r="W209" t="s">
        <v>144</v>
      </c>
      <c r="X209" s="677">
        <v>3.9469247748235001</v>
      </c>
      <c r="Y209" s="677">
        <v>3.0775000000000001</v>
      </c>
      <c r="Z209" s="677">
        <v>3.11</v>
      </c>
      <c r="AA209" s="677">
        <v>3.7825678277305768</v>
      </c>
      <c r="AB209" s="677">
        <v>3.6949999999999998</v>
      </c>
      <c r="AC209" s="677">
        <v>2.91</v>
      </c>
      <c r="AF209" s="677"/>
    </row>
    <row r="210" spans="23:32" x14ac:dyDescent="0.25">
      <c r="W210" t="s">
        <v>87</v>
      </c>
      <c r="X210" s="677">
        <v>4.0744090712177705</v>
      </c>
      <c r="Y210" s="677">
        <v>3.0479999999999996</v>
      </c>
      <c r="Z210" s="677">
        <v>3.13</v>
      </c>
      <c r="AA210" s="677">
        <v>3.7604672151790504</v>
      </c>
      <c r="AB210" s="677">
        <v>3.5920000000000001</v>
      </c>
      <c r="AC210" s="677">
        <v>2.84</v>
      </c>
      <c r="AF210" s="677"/>
    </row>
    <row r="211" spans="23:32" x14ac:dyDescent="0.25">
      <c r="W211" t="s">
        <v>88</v>
      </c>
      <c r="X211" s="677">
        <v>3.9937131150894842</v>
      </c>
      <c r="Y211" s="677">
        <v>3.008</v>
      </c>
      <c r="Z211" s="677">
        <v>3.46</v>
      </c>
      <c r="AA211" s="677">
        <v>3.6534561434260349</v>
      </c>
      <c r="AB211" s="677">
        <v>3.5724999999999998</v>
      </c>
      <c r="AC211" s="677">
        <v>2.76</v>
      </c>
      <c r="AF211" s="677"/>
    </row>
    <row r="212" spans="23:32" x14ac:dyDescent="0.25">
      <c r="W212" t="s">
        <v>89</v>
      </c>
      <c r="X212" s="677">
        <v>3.9925484100250603</v>
      </c>
      <c r="Y212" s="677">
        <v>3.03925</v>
      </c>
      <c r="Z212" s="677">
        <v>3.23</v>
      </c>
      <c r="AA212" s="677">
        <v>3.6485633825043626</v>
      </c>
      <c r="AB212" s="677">
        <v>3.6524999999999999</v>
      </c>
      <c r="AC212" s="677">
        <v>2.84</v>
      </c>
      <c r="AF212" s="677"/>
    </row>
    <row r="213" spans="23:32" x14ac:dyDescent="0.25">
      <c r="W213" t="s">
        <v>90</v>
      </c>
      <c r="X213" s="677">
        <v>3.9611609252471354</v>
      </c>
      <c r="Y213" s="677">
        <v>3.0779999999999998</v>
      </c>
      <c r="Z213" s="677">
        <v>3.13</v>
      </c>
      <c r="AA213" s="677">
        <v>3.6727327174621052</v>
      </c>
      <c r="AB213" s="677">
        <v>3.6280000000000001</v>
      </c>
      <c r="AC213" s="677">
        <v>2.84</v>
      </c>
      <c r="AF213" s="677"/>
    </row>
    <row r="214" spans="23:32" x14ac:dyDescent="0.25">
      <c r="W214" t="s">
        <v>91</v>
      </c>
      <c r="X214" s="677">
        <v>3.8988313692423096</v>
      </c>
      <c r="Y214" s="677">
        <v>3.06</v>
      </c>
      <c r="Z214" s="677">
        <v>3.11</v>
      </c>
      <c r="AA214" s="677">
        <v>3.6262517328026811</v>
      </c>
      <c r="AB214" s="677">
        <v>3.5449999999999999</v>
      </c>
      <c r="AC214" s="677">
        <v>2.76</v>
      </c>
      <c r="AF214" s="677"/>
    </row>
    <row r="215" spans="23:32" x14ac:dyDescent="0.25">
      <c r="W215" t="s">
        <v>93</v>
      </c>
      <c r="X215" s="677">
        <v>3.8507644426501835</v>
      </c>
      <c r="Y215" s="677">
        <v>2.911</v>
      </c>
      <c r="Z215" s="677">
        <v>3.75</v>
      </c>
      <c r="AA215" s="677">
        <v>3.5449481114285684</v>
      </c>
      <c r="AB215" s="677">
        <v>3.4975000000000001</v>
      </c>
      <c r="AC215" s="677">
        <v>2.69</v>
      </c>
      <c r="AF215" s="677"/>
    </row>
    <row r="216" spans="23:32" x14ac:dyDescent="0.25">
      <c r="W216" t="s">
        <v>94</v>
      </c>
      <c r="X216" s="677">
        <v>3.8262529237234753</v>
      </c>
      <c r="Y216" s="677">
        <v>3.0699999999999994</v>
      </c>
      <c r="Z216" s="677">
        <v>3.63</v>
      </c>
      <c r="AA216" s="677">
        <v>3.6600198300418136</v>
      </c>
      <c r="AB216" s="677">
        <v>3.6459999999999999</v>
      </c>
      <c r="AC216" s="677">
        <v>2.84</v>
      </c>
      <c r="AF216" s="677"/>
    </row>
    <row r="217" spans="23:32" x14ac:dyDescent="0.25">
      <c r="W217" t="s">
        <v>101</v>
      </c>
      <c r="X217" s="677">
        <v>3.9896303952251184</v>
      </c>
      <c r="Y217" s="677">
        <v>3.3025000000000002</v>
      </c>
      <c r="Z217" s="677">
        <v>3.41</v>
      </c>
      <c r="AA217" s="677">
        <v>3.8721793232843487</v>
      </c>
      <c r="AB217" s="677">
        <v>3.8724999999999996</v>
      </c>
      <c r="AC217" s="677">
        <v>3.12</v>
      </c>
      <c r="AF217" s="677"/>
    </row>
    <row r="218" spans="23:32" x14ac:dyDescent="0.25">
      <c r="W218" t="s">
        <v>95</v>
      </c>
      <c r="X218" s="677">
        <v>4.1648281086031105</v>
      </c>
      <c r="Y218" s="677">
        <v>3.2439999999999998</v>
      </c>
      <c r="Z218" s="677">
        <v>3.38</v>
      </c>
      <c r="AA218" s="677">
        <v>3.842999853119212</v>
      </c>
      <c r="AB218" s="677">
        <v>3.7039999999999997</v>
      </c>
      <c r="AC218" s="677">
        <v>3.05</v>
      </c>
      <c r="AF218" s="677"/>
    </row>
    <row r="219" spans="23:32" x14ac:dyDescent="0.25">
      <c r="W219" t="s">
        <v>96</v>
      </c>
      <c r="X219" s="677">
        <v>4.0528422603129375</v>
      </c>
      <c r="Y219" s="677">
        <v>3.1875</v>
      </c>
      <c r="Z219" s="677">
        <v>3.31</v>
      </c>
      <c r="AA219" s="677">
        <v>3.8085979639586132</v>
      </c>
      <c r="AB219" s="677">
        <v>3.7699999999999996</v>
      </c>
      <c r="AC219" s="677">
        <v>3.06</v>
      </c>
      <c r="AF219" s="677"/>
    </row>
    <row r="220" spans="23:32" x14ac:dyDescent="0.25">
      <c r="W220" t="s">
        <v>97</v>
      </c>
      <c r="X220" s="677">
        <v>4.18279247554403</v>
      </c>
      <c r="Y220" s="677">
        <v>3.24</v>
      </c>
      <c r="Z220" s="677">
        <v>3.29</v>
      </c>
      <c r="AA220" s="677">
        <v>3.8112690544916279</v>
      </c>
      <c r="AB220" s="677">
        <v>3.6875</v>
      </c>
      <c r="AC220" s="677">
        <v>2.97</v>
      </c>
      <c r="AF220" s="677"/>
    </row>
    <row r="221" spans="23:32" x14ac:dyDescent="0.25">
      <c r="Z221" s="677"/>
      <c r="AF221" s="677"/>
    </row>
    <row r="222" spans="23:32" x14ac:dyDescent="0.25">
      <c r="AF222" s="677"/>
    </row>
    <row r="223" spans="23:32" ht="15.6" x14ac:dyDescent="0.25">
      <c r="X223" s="746" t="s">
        <v>282</v>
      </c>
      <c r="AF223" s="677"/>
    </row>
    <row r="224" spans="23:32" ht="14.4" x14ac:dyDescent="0.25">
      <c r="X224" s="729" t="s">
        <v>275</v>
      </c>
      <c r="Y224" s="729" t="s">
        <v>276</v>
      </c>
      <c r="Z224" s="729" t="s">
        <v>277</v>
      </c>
      <c r="AA224" s="729" t="s">
        <v>278</v>
      </c>
      <c r="AB224" s="729" t="s">
        <v>279</v>
      </c>
      <c r="AC224" s="729" t="s">
        <v>280</v>
      </c>
      <c r="AF224" s="677"/>
    </row>
    <row r="225" spans="23:32" x14ac:dyDescent="0.25">
      <c r="AF225" s="677"/>
    </row>
    <row r="226" spans="23:32" ht="12.75" customHeight="1" x14ac:dyDescent="0.25">
      <c r="W226" t="s">
        <v>144</v>
      </c>
      <c r="X226" s="677">
        <v>3.7217677124218169</v>
      </c>
      <c r="Y226" s="677">
        <v>2.895</v>
      </c>
      <c r="Z226" s="677">
        <v>2.9875675068913776</v>
      </c>
      <c r="AA226" s="677">
        <v>2.895</v>
      </c>
      <c r="AB226" s="677">
        <v>3.5624999999999996</v>
      </c>
      <c r="AC226" s="677">
        <v>2.8</v>
      </c>
      <c r="AF226" s="677"/>
    </row>
    <row r="227" spans="23:32" x14ac:dyDescent="0.25">
      <c r="W227" t="s">
        <v>87</v>
      </c>
      <c r="X227" s="677">
        <v>3.8748610868760323</v>
      </c>
      <c r="Y227" s="677">
        <v>2.8340000000000005</v>
      </c>
      <c r="Z227" s="677">
        <v>2.908915388698381</v>
      </c>
      <c r="AA227" s="677">
        <v>2.8340000000000005</v>
      </c>
      <c r="AB227" s="677">
        <v>3.4559999999999995</v>
      </c>
      <c r="AC227" s="677">
        <v>2.69</v>
      </c>
      <c r="AF227" s="677"/>
    </row>
    <row r="228" spans="23:32" x14ac:dyDescent="0.25">
      <c r="W228" t="s">
        <v>88</v>
      </c>
      <c r="X228" s="677">
        <v>3.8074624020642522</v>
      </c>
      <c r="Y228" s="677">
        <v>2.8094999999999999</v>
      </c>
      <c r="Z228" s="677">
        <v>2.8662907989903283</v>
      </c>
      <c r="AA228" s="677">
        <v>2.8094999999999999</v>
      </c>
      <c r="AB228" s="677">
        <v>3.4375</v>
      </c>
      <c r="AC228" s="677">
        <v>2.69</v>
      </c>
      <c r="AF228" s="677"/>
    </row>
    <row r="229" spans="23:32" x14ac:dyDescent="0.25">
      <c r="W229" t="s">
        <v>89</v>
      </c>
      <c r="X229" s="677">
        <v>3.8056004444872054</v>
      </c>
      <c r="Y229" s="677">
        <v>2.8579999999999997</v>
      </c>
      <c r="Z229" s="677">
        <v>2.9817248334157984</v>
      </c>
      <c r="AA229" s="677">
        <v>2.8579999999999997</v>
      </c>
      <c r="AB229" s="677">
        <v>3.54</v>
      </c>
      <c r="AC229" s="677">
        <v>2.73</v>
      </c>
      <c r="AF229" s="677"/>
    </row>
    <row r="230" spans="23:32" x14ac:dyDescent="0.25">
      <c r="W230" t="s">
        <v>90</v>
      </c>
      <c r="X230" s="677">
        <v>3.7779392860356906</v>
      </c>
      <c r="Y230" s="677">
        <v>2.8559999999999999</v>
      </c>
      <c r="Z230" s="677">
        <v>2.894407317426662</v>
      </c>
      <c r="AA230" s="677">
        <v>2.8559999999999999</v>
      </c>
      <c r="AB230" s="677">
        <v>3.4880000000000004</v>
      </c>
      <c r="AC230" s="677">
        <v>2.73</v>
      </c>
      <c r="AF230" s="677"/>
    </row>
    <row r="231" spans="23:32" x14ac:dyDescent="0.25">
      <c r="W231" t="s">
        <v>91</v>
      </c>
      <c r="X231" s="677">
        <v>3.7169609636356764</v>
      </c>
      <c r="Y231" s="677">
        <v>2.8200000000000003</v>
      </c>
      <c r="Z231" s="677">
        <v>2.8499117581231168</v>
      </c>
      <c r="AA231" s="677">
        <v>2.8200000000000003</v>
      </c>
      <c r="AB231" s="677">
        <v>3.4349999999999996</v>
      </c>
      <c r="AC231" s="677">
        <v>2.65</v>
      </c>
      <c r="AF231" s="677"/>
    </row>
    <row r="232" spans="23:32" x14ac:dyDescent="0.25">
      <c r="W232" t="s">
        <v>93</v>
      </c>
      <c r="X232" s="677">
        <v>3.6761448304910478</v>
      </c>
      <c r="Y232" s="677">
        <v>2.7352500000000002</v>
      </c>
      <c r="Z232" s="677">
        <v>2.8147223025593004</v>
      </c>
      <c r="AA232" s="677">
        <v>2.7352500000000002</v>
      </c>
      <c r="AB232" s="677">
        <v>3.4224999999999999</v>
      </c>
      <c r="AC232" s="677">
        <v>2.61</v>
      </c>
      <c r="AF232" s="677"/>
    </row>
    <row r="233" spans="23:32" x14ac:dyDescent="0.25">
      <c r="W233" t="s">
        <v>94</v>
      </c>
      <c r="X233" s="677">
        <v>3.6715342092719219</v>
      </c>
      <c r="Y233" s="677">
        <v>2.8720000000000003</v>
      </c>
      <c r="Z233" s="677">
        <v>2.9610417684929593</v>
      </c>
      <c r="AA233" s="677">
        <v>2.8720000000000003</v>
      </c>
      <c r="AB233" s="677">
        <v>3.5200000000000005</v>
      </c>
      <c r="AC233" s="677">
        <v>2.76</v>
      </c>
      <c r="AF233" s="677"/>
    </row>
    <row r="234" spans="23:32" x14ac:dyDescent="0.25">
      <c r="W234" t="s">
        <v>101</v>
      </c>
      <c r="X234" s="677">
        <v>3.814512990425893</v>
      </c>
      <c r="Y234" s="677">
        <v>3.0174999999999996</v>
      </c>
      <c r="Z234" s="677">
        <v>3.1689458900899199</v>
      </c>
      <c r="AA234" s="677">
        <v>3.0174999999999996</v>
      </c>
      <c r="AB234" s="677">
        <v>3.6475</v>
      </c>
      <c r="AC234" s="677">
        <v>2.91</v>
      </c>
      <c r="AF234" s="677"/>
    </row>
    <row r="235" spans="23:32" x14ac:dyDescent="0.25">
      <c r="W235" t="s">
        <v>95</v>
      </c>
      <c r="X235" s="677">
        <v>3.9758246141984452</v>
      </c>
      <c r="Y235" s="677">
        <v>2.9680000000000004</v>
      </c>
      <c r="Z235" s="677">
        <v>3.0306728128316416</v>
      </c>
      <c r="AA235" s="677">
        <v>2.9680000000000004</v>
      </c>
      <c r="AB235" s="677">
        <v>3.536</v>
      </c>
      <c r="AC235" s="677">
        <v>2.83</v>
      </c>
      <c r="AF235" s="677"/>
    </row>
    <row r="236" spans="23:32" x14ac:dyDescent="0.25">
      <c r="W236" t="s">
        <v>96</v>
      </c>
      <c r="X236" s="677">
        <v>3.8979080887333959</v>
      </c>
      <c r="Y236" s="677">
        <v>2.9874999999999998</v>
      </c>
      <c r="Z236" s="677">
        <v>3.1536378462305139</v>
      </c>
      <c r="AA236" s="677">
        <v>2.9874999999999998</v>
      </c>
      <c r="AB236" s="677">
        <v>3.6375000000000002</v>
      </c>
      <c r="AC236" s="677">
        <v>2.92</v>
      </c>
      <c r="AF236" s="677"/>
    </row>
    <row r="237" spans="23:32" x14ac:dyDescent="0.25">
      <c r="W237" t="s">
        <v>97</v>
      </c>
      <c r="X237" s="677">
        <v>4.0303733243696476</v>
      </c>
      <c r="Y237" s="677">
        <v>3.085</v>
      </c>
      <c r="Z237" s="677">
        <v>3.1420320771452586</v>
      </c>
      <c r="AA237" s="677">
        <v>3.085</v>
      </c>
      <c r="AB237" s="677">
        <v>3.58</v>
      </c>
      <c r="AC237" s="677">
        <v>2.88</v>
      </c>
      <c r="AF237" s="677"/>
    </row>
    <row r="240" spans="23:32" ht="13.8" x14ac:dyDescent="0.25">
      <c r="X240" s="730" t="s">
        <v>76</v>
      </c>
    </row>
    <row r="241" spans="23:29" ht="14.4" x14ac:dyDescent="0.25">
      <c r="X241" s="729" t="s">
        <v>275</v>
      </c>
      <c r="Y241" s="729" t="s">
        <v>276</v>
      </c>
      <c r="Z241" s="729" t="s">
        <v>277</v>
      </c>
      <c r="AA241" s="729" t="s">
        <v>278</v>
      </c>
      <c r="AB241" s="729" t="s">
        <v>279</v>
      </c>
      <c r="AC241" s="729" t="s">
        <v>280</v>
      </c>
    </row>
    <row r="243" spans="23:29" x14ac:dyDescent="0.25">
      <c r="W243" t="s">
        <v>144</v>
      </c>
      <c r="X243" s="677">
        <v>3.1265416682467677</v>
      </c>
      <c r="Y243" s="677">
        <v>2.4899999999999998</v>
      </c>
      <c r="Z243" s="677">
        <v>2.4514752873698522</v>
      </c>
      <c r="AA243" s="677">
        <v>3.0338128599048861</v>
      </c>
      <c r="AB243" s="677">
        <v>3.0349999999999997</v>
      </c>
      <c r="AC243" s="677">
        <v>2.31</v>
      </c>
    </row>
    <row r="244" spans="23:29" x14ac:dyDescent="0.25">
      <c r="W244" t="s">
        <v>87</v>
      </c>
      <c r="X244" s="677">
        <v>3.2438005747255163</v>
      </c>
      <c r="Y244" s="677">
        <v>2.5119999999999996</v>
      </c>
      <c r="Z244" s="677">
        <v>2.4107162850959942</v>
      </c>
      <c r="AA244" s="677">
        <v>3.0238406073051824</v>
      </c>
      <c r="AB244" s="677">
        <v>3.0159999999999996</v>
      </c>
      <c r="AC244" s="677">
        <v>2.35</v>
      </c>
    </row>
    <row r="245" spans="23:29" x14ac:dyDescent="0.25">
      <c r="W245" t="s">
        <v>88</v>
      </c>
      <c r="X245" s="677">
        <v>3.1952098398745234</v>
      </c>
      <c r="Y245" s="677">
        <v>2.4957499999999997</v>
      </c>
      <c r="Z245" s="677">
        <v>2.3912754944861567</v>
      </c>
      <c r="AA245" s="677">
        <v>2.9636685807767718</v>
      </c>
      <c r="AB245" s="677">
        <v>2.9525000000000001</v>
      </c>
      <c r="AC245" s="677">
        <v>2.35</v>
      </c>
    </row>
    <row r="246" spans="23:29" x14ac:dyDescent="0.25">
      <c r="W246" t="s">
        <v>89</v>
      </c>
      <c r="X246" s="677">
        <v>3.1634807610619173</v>
      </c>
      <c r="Y246" s="677">
        <v>2.4285000000000001</v>
      </c>
      <c r="Z246" s="677">
        <v>2.3996926450626983</v>
      </c>
      <c r="AA246" s="677">
        <v>2.9118208789446598</v>
      </c>
      <c r="AB246" s="677">
        <v>2.95</v>
      </c>
      <c r="AC246" s="677">
        <v>2.31</v>
      </c>
    </row>
    <row r="247" spans="23:29" x14ac:dyDescent="0.25">
      <c r="W247" t="s">
        <v>90</v>
      </c>
      <c r="X247" s="677">
        <v>3.042879494799509</v>
      </c>
      <c r="Y247" s="677">
        <v>2.5060000000000002</v>
      </c>
      <c r="Z247" s="677">
        <v>2.2978112795933194</v>
      </c>
      <c r="AA247" s="677">
        <v>2.9095650324098523</v>
      </c>
      <c r="AB247" s="677">
        <v>2.8880000000000003</v>
      </c>
      <c r="AC247" s="677">
        <v>2.27</v>
      </c>
    </row>
    <row r="248" spans="23:29" x14ac:dyDescent="0.25">
      <c r="W248" t="s">
        <v>91</v>
      </c>
      <c r="X248" s="677">
        <v>2.9420477611637943</v>
      </c>
      <c r="Y248" s="677">
        <v>2.4849999999999999</v>
      </c>
      <c r="Z248" s="677">
        <v>2.2391848371772189</v>
      </c>
      <c r="AA248" s="677">
        <v>2.8633663145649098</v>
      </c>
      <c r="AB248" s="677">
        <v>2.8224999999999998</v>
      </c>
      <c r="AC248" s="677">
        <v>2.23</v>
      </c>
    </row>
    <row r="249" spans="23:29" x14ac:dyDescent="0.25">
      <c r="W249" t="s">
        <v>93</v>
      </c>
      <c r="X249" s="677">
        <v>2.9098513330056721</v>
      </c>
      <c r="Y249" s="677">
        <v>2.3855</v>
      </c>
      <c r="Z249" s="677">
        <v>2.2175375684063057</v>
      </c>
      <c r="AA249" s="677">
        <v>2.7895648400670132</v>
      </c>
      <c r="AB249" s="677">
        <v>2.8125</v>
      </c>
      <c r="AC249" s="677">
        <v>2.2000000000000002</v>
      </c>
    </row>
    <row r="250" spans="23:29" x14ac:dyDescent="0.25">
      <c r="W250" t="s">
        <v>94</v>
      </c>
      <c r="X250" s="677">
        <v>2.9905389854737878</v>
      </c>
      <c r="Y250" s="677">
        <v>2.5499999999999998</v>
      </c>
      <c r="Z250" s="677">
        <v>2.4076531661679494</v>
      </c>
      <c r="AA250" s="677">
        <v>2.9194480383300192</v>
      </c>
      <c r="AB250" s="677">
        <v>2.94</v>
      </c>
      <c r="AC250" s="677">
        <v>2.35</v>
      </c>
    </row>
    <row r="251" spans="23:29" x14ac:dyDescent="0.25">
      <c r="W251" t="s">
        <v>101</v>
      </c>
      <c r="X251" s="677">
        <v>3.2470742484864759</v>
      </c>
      <c r="Y251" s="677">
        <v>2.6675</v>
      </c>
      <c r="Z251" s="677">
        <v>2.5079686937407111</v>
      </c>
      <c r="AA251" s="677">
        <v>3.0628570946771587</v>
      </c>
      <c r="AB251" s="677">
        <v>3.0324999999999998</v>
      </c>
      <c r="AC251" s="677">
        <v>2.48</v>
      </c>
    </row>
    <row r="252" spans="23:29" x14ac:dyDescent="0.25">
      <c r="W252" t="s">
        <v>95</v>
      </c>
      <c r="X252" s="677">
        <v>3.3481594861765585</v>
      </c>
      <c r="Y252" s="677">
        <v>2.706</v>
      </c>
      <c r="Z252" s="677">
        <v>2.6011826832504452</v>
      </c>
      <c r="AA252" s="677">
        <v>3.1393205486111762</v>
      </c>
      <c r="AB252" s="677">
        <v>3.0859999999999999</v>
      </c>
      <c r="AC252" s="677">
        <v>2.56</v>
      </c>
    </row>
    <row r="253" spans="23:29" x14ac:dyDescent="0.25">
      <c r="W253" t="s">
        <v>96</v>
      </c>
      <c r="X253" s="677">
        <v>3.425732839144449</v>
      </c>
      <c r="Y253" s="677">
        <v>2.79</v>
      </c>
      <c r="Z253" s="677">
        <v>2.6999535900618223</v>
      </c>
      <c r="AA253" s="677">
        <v>3.1366906801942083</v>
      </c>
      <c r="AB253" s="677">
        <v>3.22</v>
      </c>
      <c r="AC253" s="677">
        <v>2.62</v>
      </c>
    </row>
    <row r="254" spans="23:29" x14ac:dyDescent="0.25">
      <c r="W254" t="s">
        <v>97</v>
      </c>
      <c r="X254" s="677">
        <v>3.5008389345977209</v>
      </c>
      <c r="Y254" s="677">
        <v>2.8800000000000003</v>
      </c>
      <c r="Z254" s="677">
        <v>2.7681772026870592</v>
      </c>
      <c r="AA254" s="677">
        <v>3.1394291980693132</v>
      </c>
      <c r="AB254" s="677">
        <v>3.2275</v>
      </c>
      <c r="AC254" s="677">
        <v>2.69</v>
      </c>
    </row>
    <row r="264" spans="22:31" ht="15.6" x14ac:dyDescent="0.25">
      <c r="V264" s="864" t="s">
        <v>41</v>
      </c>
      <c r="W264" s="864"/>
      <c r="X264" s="864"/>
      <c r="Y264" s="864"/>
      <c r="Z264" s="864"/>
      <c r="AA264" s="864"/>
      <c r="AB264" s="864"/>
      <c r="AC264" s="864"/>
      <c r="AD264" s="864"/>
      <c r="AE264" s="864"/>
    </row>
    <row r="265" spans="22:31" ht="15.6" x14ac:dyDescent="0.25">
      <c r="V265" s="864" t="s">
        <v>42</v>
      </c>
      <c r="W265" s="864"/>
      <c r="X265" s="864"/>
      <c r="Y265" s="864"/>
      <c r="Z265" s="864"/>
      <c r="AA265" s="864"/>
      <c r="AB265" s="864"/>
      <c r="AC265" s="864"/>
      <c r="AD265" s="864"/>
      <c r="AE265" s="864"/>
    </row>
    <row r="266" spans="22:31" ht="15.6" x14ac:dyDescent="0.25">
      <c r="V266" s="864" t="s">
        <v>285</v>
      </c>
      <c r="W266" s="864"/>
      <c r="X266" s="864"/>
      <c r="Y266" s="864"/>
      <c r="Z266" s="864"/>
      <c r="AA266" s="864"/>
      <c r="AB266" s="864"/>
      <c r="AC266" s="864"/>
      <c r="AD266" s="864"/>
      <c r="AE266" s="864"/>
    </row>
    <row r="267" spans="22:31" ht="15.6" x14ac:dyDescent="0.25">
      <c r="V267" s="864" t="s">
        <v>7</v>
      </c>
      <c r="W267" s="864"/>
      <c r="X267" s="864"/>
      <c r="Y267" s="864"/>
      <c r="Z267" s="864"/>
      <c r="AA267" s="864"/>
      <c r="AB267" s="864"/>
      <c r="AC267" s="864"/>
      <c r="AD267" s="864"/>
      <c r="AE267" s="864"/>
    </row>
    <row r="268" spans="22:31" ht="15.6" x14ac:dyDescent="0.25">
      <c r="V268" s="764"/>
      <c r="W268" s="764"/>
      <c r="X268" s="764" t="s">
        <v>281</v>
      </c>
      <c r="Y268" s="764"/>
      <c r="Z268" s="764"/>
      <c r="AA268" s="764"/>
      <c r="AB268" s="764"/>
      <c r="AC268" s="764"/>
      <c r="AD268" s="764"/>
      <c r="AE268" s="764"/>
    </row>
    <row r="269" spans="22:31" ht="14.4" x14ac:dyDescent="0.25">
      <c r="X269" s="729" t="s">
        <v>275</v>
      </c>
      <c r="Y269" s="729" t="s">
        <v>276</v>
      </c>
      <c r="Z269" s="729" t="s">
        <v>277</v>
      </c>
      <c r="AA269" s="729" t="s">
        <v>278</v>
      </c>
      <c r="AB269" s="729" t="s">
        <v>279</v>
      </c>
      <c r="AC269" s="729" t="s">
        <v>280</v>
      </c>
    </row>
    <row r="271" spans="22:31" x14ac:dyDescent="0.25">
      <c r="W271" t="s">
        <v>144</v>
      </c>
      <c r="X271" s="677">
        <v>3.9026643141788768</v>
      </c>
      <c r="Y271" s="677">
        <v>2.5582500000000001</v>
      </c>
      <c r="Z271" s="677">
        <v>2.5569832528165763</v>
      </c>
      <c r="AA271" s="677">
        <v>3.3391005273012357</v>
      </c>
      <c r="AB271" s="677">
        <v>3.2002103137755764</v>
      </c>
      <c r="AC271" s="677">
        <v>2.42</v>
      </c>
    </row>
    <row r="272" spans="22:31" x14ac:dyDescent="0.25">
      <c r="W272" t="s">
        <v>87</v>
      </c>
      <c r="X272" s="677">
        <v>3.7412955380302408</v>
      </c>
      <c r="Y272" s="677">
        <v>2.4177999999999997</v>
      </c>
      <c r="Z272" s="677">
        <v>2.4216958977588012</v>
      </c>
      <c r="AA272" s="677">
        <v>3.1893767335994854</v>
      </c>
      <c r="AB272" s="677">
        <v>3.0548298761097241</v>
      </c>
      <c r="AC272" s="677">
        <v>2.31</v>
      </c>
    </row>
    <row r="273" spans="23:29" x14ac:dyDescent="0.25">
      <c r="W273" t="s">
        <v>88</v>
      </c>
      <c r="X273" s="677">
        <v>3.110941119004798</v>
      </c>
      <c r="Y273" s="677">
        <v>2.4702500000000001</v>
      </c>
      <c r="Z273" s="677">
        <v>2.6205902721653382</v>
      </c>
      <c r="AA273" s="677">
        <v>3.2463325911575955</v>
      </c>
      <c r="AB273" s="677">
        <v>3.2149999999999999</v>
      </c>
      <c r="AC273" s="677">
        <v>2.35</v>
      </c>
    </row>
    <row r="274" spans="23:29" x14ac:dyDescent="0.25">
      <c r="W274" t="s">
        <v>89</v>
      </c>
      <c r="X274" s="677">
        <v>3.2320807375233613</v>
      </c>
      <c r="Y274" s="677">
        <v>2.7190000000000003</v>
      </c>
      <c r="Z274" s="677">
        <v>2.7777039415962341</v>
      </c>
      <c r="AA274" s="677">
        <v>3.4352331705300667</v>
      </c>
      <c r="AB274" s="677">
        <v>3.42</v>
      </c>
      <c r="AC274" s="677">
        <v>2.57</v>
      </c>
    </row>
    <row r="275" spans="23:29" x14ac:dyDescent="0.25">
      <c r="W275" t="s">
        <v>90</v>
      </c>
      <c r="X275" s="677">
        <v>3.4963004341808825</v>
      </c>
      <c r="Y275" s="677">
        <v>2.8723999999999998</v>
      </c>
      <c r="Z275" s="677">
        <v>2.9139493025262468</v>
      </c>
      <c r="AA275" s="677">
        <v>3.478980557335428</v>
      </c>
      <c r="AB275" s="677">
        <v>3.5660000000000003</v>
      </c>
      <c r="AC275" s="677">
        <v>2.73</v>
      </c>
    </row>
    <row r="276" spans="23:29" x14ac:dyDescent="0.25">
      <c r="W276" t="s">
        <v>91</v>
      </c>
      <c r="X276" s="677">
        <v>3.7027350026437627</v>
      </c>
      <c r="Y276" s="677">
        <v>2.9732500000000002</v>
      </c>
      <c r="Z276" s="677">
        <v>2.9891531381335481</v>
      </c>
      <c r="AA276" s="677">
        <v>3.5375527617573144</v>
      </c>
      <c r="AB276" s="677">
        <v>3.5674999999999999</v>
      </c>
      <c r="AC276" s="677">
        <v>2.76</v>
      </c>
    </row>
    <row r="277" spans="23:29" x14ac:dyDescent="0.25">
      <c r="W277" t="s">
        <v>93</v>
      </c>
      <c r="X277" s="677">
        <v>4.1143554635149755</v>
      </c>
      <c r="Y277" s="677">
        <v>2.9124999999999996</v>
      </c>
      <c r="Z277" s="677">
        <v>2.8526610108800527</v>
      </c>
      <c r="AA277" s="677">
        <v>3.481642526529757</v>
      </c>
      <c r="AB277" s="677">
        <v>3.4475000000000002</v>
      </c>
      <c r="AC277" s="677">
        <v>2.65</v>
      </c>
    </row>
    <row r="278" spans="23:29" x14ac:dyDescent="0.25">
      <c r="W278" t="s">
        <v>94</v>
      </c>
      <c r="X278" s="677">
        <v>3.974419879410604</v>
      </c>
      <c r="Y278" s="677">
        <v>2.7904</v>
      </c>
      <c r="Z278" s="677">
        <v>2.8580928968282091</v>
      </c>
      <c r="AA278" s="677">
        <v>3.3863061302502615</v>
      </c>
      <c r="AB278" s="677">
        <v>3.3920000000000003</v>
      </c>
      <c r="AC278" s="677">
        <v>2.54</v>
      </c>
    </row>
    <row r="279" spans="23:29" x14ac:dyDescent="0.25">
      <c r="W279" t="s">
        <v>101</v>
      </c>
      <c r="X279" s="677">
        <v>3.8621366998301667</v>
      </c>
      <c r="Y279" s="677">
        <v>2.8567500000000003</v>
      </c>
      <c r="Z279" s="677">
        <v>2.9449830992793675</v>
      </c>
      <c r="AA279" s="677">
        <v>3.4518425402033559</v>
      </c>
      <c r="AB279" s="677">
        <v>3.4525000000000001</v>
      </c>
      <c r="AC279" s="677">
        <v>2.65</v>
      </c>
    </row>
    <row r="280" spans="23:29" x14ac:dyDescent="0.25">
      <c r="W280" t="s">
        <v>95</v>
      </c>
      <c r="X280" s="677">
        <v>3.9226929972236162</v>
      </c>
      <c r="Y280" s="677">
        <v>2.9260000000000002</v>
      </c>
      <c r="Z280" s="677">
        <v>3.0058462294881143</v>
      </c>
      <c r="AA280" s="677">
        <v>3.4981946031137667</v>
      </c>
      <c r="AB280" s="677">
        <v>3.5380000000000003</v>
      </c>
      <c r="AC280" s="677">
        <v>2.73</v>
      </c>
    </row>
    <row r="281" spans="23:29" x14ac:dyDescent="0.25">
      <c r="W281" t="s">
        <v>96</v>
      </c>
      <c r="X281" s="677">
        <v>3.8842098346300862</v>
      </c>
      <c r="Y281" s="677">
        <v>2.8800000000000003</v>
      </c>
      <c r="Z281" s="677">
        <v>2.9098066466097805</v>
      </c>
      <c r="AA281" s="677">
        <v>3.4937672001955122</v>
      </c>
      <c r="AB281" s="677">
        <v>3.3925000000000001</v>
      </c>
      <c r="AC281" s="677">
        <v>2.61</v>
      </c>
    </row>
    <row r="282" spans="23:29" x14ac:dyDescent="0.25">
      <c r="W282" t="s">
        <v>97</v>
      </c>
      <c r="X282" s="677">
        <v>3.8095402871824362</v>
      </c>
      <c r="Y282" s="677">
        <v>2.8775000000000004</v>
      </c>
      <c r="Z282" s="677">
        <v>3.0214666386342142</v>
      </c>
      <c r="AA282" s="677">
        <v>3.5179909970035603</v>
      </c>
      <c r="AB282" s="677">
        <v>3.54</v>
      </c>
      <c r="AC282" s="677">
        <v>2.8</v>
      </c>
    </row>
    <row r="283" spans="23:29" x14ac:dyDescent="0.25">
      <c r="Z283" s="677"/>
    </row>
    <row r="285" spans="23:29" ht="15.6" x14ac:dyDescent="0.25">
      <c r="X285" s="764" t="s">
        <v>282</v>
      </c>
    </row>
    <row r="286" spans="23:29" ht="14.4" x14ac:dyDescent="0.25">
      <c r="X286" s="729" t="s">
        <v>275</v>
      </c>
      <c r="Y286" s="729" t="s">
        <v>276</v>
      </c>
      <c r="Z286" s="729" t="s">
        <v>277</v>
      </c>
      <c r="AA286" s="729" t="s">
        <v>278</v>
      </c>
      <c r="AB286" s="729" t="s">
        <v>279</v>
      </c>
      <c r="AC286" s="729" t="s">
        <v>280</v>
      </c>
    </row>
    <row r="288" spans="23:29" x14ac:dyDescent="0.25">
      <c r="W288" t="s">
        <v>144</v>
      </c>
      <c r="X288" s="677">
        <v>3.7420895749550587</v>
      </c>
      <c r="Y288" s="677">
        <v>2.3832499999999999</v>
      </c>
      <c r="Z288" s="677">
        <v>2.3640142963976976</v>
      </c>
      <c r="AA288" s="677">
        <v>3.0760742603320184</v>
      </c>
      <c r="AB288" s="677">
        <v>3.034120316800371</v>
      </c>
      <c r="AC288" s="677">
        <v>2.23</v>
      </c>
    </row>
    <row r="289" spans="23:29" x14ac:dyDescent="0.25">
      <c r="W289" t="s">
        <v>87</v>
      </c>
      <c r="X289" s="677">
        <v>3.5826897339632131</v>
      </c>
      <c r="Y289" s="677">
        <v>2.2114000000000003</v>
      </c>
      <c r="Z289" s="677">
        <v>2.2283649196131092</v>
      </c>
      <c r="AA289" s="677">
        <v>2.9219213909692496</v>
      </c>
      <c r="AB289" s="677">
        <v>2.8877852022520321</v>
      </c>
      <c r="AC289" s="677">
        <v>2.16</v>
      </c>
    </row>
    <row r="290" spans="23:29" x14ac:dyDescent="0.25">
      <c r="W290" t="s">
        <v>88</v>
      </c>
      <c r="X290" s="677">
        <v>2.9641326617034478</v>
      </c>
      <c r="Y290" s="677">
        <v>2.29</v>
      </c>
      <c r="Z290" s="677">
        <v>2.4314802960715474</v>
      </c>
      <c r="AA290" s="677">
        <v>2.9907613982190924</v>
      </c>
      <c r="AB290" s="677">
        <v>3.08</v>
      </c>
      <c r="AC290" s="677">
        <v>2.2000000000000002</v>
      </c>
    </row>
    <row r="291" spans="23:29" x14ac:dyDescent="0.25">
      <c r="W291" t="s">
        <v>89</v>
      </c>
      <c r="X291" s="677">
        <v>3.1113505375287489</v>
      </c>
      <c r="Y291" s="677">
        <v>2.5309999999999997</v>
      </c>
      <c r="Z291" s="677">
        <v>2.5865265220641409</v>
      </c>
      <c r="AA291" s="677">
        <v>3.180351362768767</v>
      </c>
      <c r="AB291" s="677">
        <v>3.2774999999999999</v>
      </c>
      <c r="AC291" s="677">
        <v>2.46</v>
      </c>
    </row>
    <row r="292" spans="23:29" x14ac:dyDescent="0.25">
      <c r="W292" t="s">
        <v>90</v>
      </c>
      <c r="X292" s="677">
        <v>3.3658559741607954</v>
      </c>
      <c r="Y292" s="677">
        <v>2.6724000000000006</v>
      </c>
      <c r="Z292" s="677">
        <v>2.7194409534042081</v>
      </c>
      <c r="AA292" s="677">
        <v>3.2189249263961153</v>
      </c>
      <c r="AB292" s="677">
        <v>3.4079999999999999</v>
      </c>
      <c r="AC292" s="677">
        <v>2.57</v>
      </c>
    </row>
    <row r="293" spans="23:29" x14ac:dyDescent="0.25">
      <c r="W293" t="s">
        <v>91</v>
      </c>
      <c r="X293" s="677">
        <v>3.5515619902112765</v>
      </c>
      <c r="Y293" s="677">
        <v>2.7897499999999997</v>
      </c>
      <c r="Z293" s="677">
        <v>2.7962634470674872</v>
      </c>
      <c r="AA293" s="677">
        <v>3.2923648802484786</v>
      </c>
      <c r="AB293" s="677">
        <v>3.4475000000000002</v>
      </c>
      <c r="AC293" s="677">
        <v>2.65</v>
      </c>
    </row>
    <row r="294" spans="23:29" x14ac:dyDescent="0.25">
      <c r="W294" t="s">
        <v>93</v>
      </c>
      <c r="X294" s="677">
        <v>3.9248955210324379</v>
      </c>
      <c r="Y294" s="677">
        <v>2.7349999999999994</v>
      </c>
      <c r="Z294" s="677">
        <v>2.6565819786045632</v>
      </c>
      <c r="AA294" s="677">
        <v>3.2433099350377383</v>
      </c>
      <c r="AB294" s="677">
        <v>3.3249999999999997</v>
      </c>
      <c r="AC294" s="677">
        <v>2.54</v>
      </c>
    </row>
    <row r="295" spans="23:29" x14ac:dyDescent="0.25">
      <c r="W295" t="s">
        <v>94</v>
      </c>
      <c r="X295" s="677">
        <v>3.7987143163512314</v>
      </c>
      <c r="Y295" s="677">
        <v>2.6274000000000002</v>
      </c>
      <c r="Z295" s="677">
        <v>2.6606763887201645</v>
      </c>
      <c r="AA295" s="677">
        <v>3.1579936385104985</v>
      </c>
      <c r="AB295" s="677">
        <v>3.3039999999999998</v>
      </c>
      <c r="AC295" s="677">
        <v>2.46</v>
      </c>
    </row>
    <row r="296" spans="23:29" x14ac:dyDescent="0.25">
      <c r="W296" t="s">
        <v>101</v>
      </c>
      <c r="X296" s="677">
        <v>3.6899760995117714</v>
      </c>
      <c r="Y296" s="677">
        <v>2.7090000000000001</v>
      </c>
      <c r="Z296" s="677">
        <v>2.7436211167491549</v>
      </c>
      <c r="AA296" s="677">
        <v>3.224232744743051</v>
      </c>
      <c r="AB296" s="677">
        <v>3.3474999999999997</v>
      </c>
      <c r="AC296" s="677">
        <v>2.57</v>
      </c>
    </row>
    <row r="297" spans="23:29" x14ac:dyDescent="0.25">
      <c r="W297" t="s">
        <v>95</v>
      </c>
      <c r="X297" s="677">
        <v>3.7509372391559568</v>
      </c>
      <c r="Y297" s="677">
        <v>2.7199999999999998</v>
      </c>
      <c r="Z297" s="677">
        <v>2.8074319368053362</v>
      </c>
      <c r="AA297" s="677">
        <v>3.2439827553219152</v>
      </c>
      <c r="AB297" s="677">
        <v>3.3840000000000003</v>
      </c>
      <c r="AC297" s="677">
        <v>2.57</v>
      </c>
    </row>
    <row r="298" spans="23:29" x14ac:dyDescent="0.25">
      <c r="W298" t="s">
        <v>96</v>
      </c>
      <c r="X298" s="677">
        <v>3.6864901369763716</v>
      </c>
      <c r="Y298" s="677">
        <v>2.67</v>
      </c>
      <c r="Z298" s="677">
        <v>2.7110005600569087</v>
      </c>
      <c r="AA298" s="677">
        <v>3.2378223533458419</v>
      </c>
      <c r="AB298" s="677">
        <v>3.2350000000000003</v>
      </c>
      <c r="AC298" s="677">
        <v>2.46</v>
      </c>
    </row>
    <row r="299" spans="23:29" x14ac:dyDescent="0.25">
      <c r="W299" t="s">
        <v>97</v>
      </c>
      <c r="X299" s="677">
        <v>3.5703365140328986</v>
      </c>
      <c r="Y299" s="677">
        <v>2.6500000000000004</v>
      </c>
      <c r="Z299" s="677">
        <v>2.8228624565932465</v>
      </c>
      <c r="AA299" s="677">
        <v>3.1511733538319464</v>
      </c>
      <c r="AB299" s="677">
        <v>3.38</v>
      </c>
      <c r="AC299" s="677">
        <v>2.65</v>
      </c>
    </row>
    <row r="302" spans="23:29" ht="13.8" x14ac:dyDescent="0.25">
      <c r="X302" s="730" t="s">
        <v>76</v>
      </c>
    </row>
    <row r="303" spans="23:29" ht="14.4" x14ac:dyDescent="0.25">
      <c r="X303" s="729" t="s">
        <v>275</v>
      </c>
      <c r="Y303" s="729" t="s">
        <v>276</v>
      </c>
      <c r="Z303" s="729" t="s">
        <v>277</v>
      </c>
      <c r="AA303" s="729" t="s">
        <v>278</v>
      </c>
      <c r="AB303" s="729" t="s">
        <v>279</v>
      </c>
      <c r="AC303" s="729" t="s">
        <v>280</v>
      </c>
    </row>
    <row r="305" spans="23:29" x14ac:dyDescent="0.25">
      <c r="W305" t="s">
        <v>144</v>
      </c>
      <c r="X305" s="677">
        <v>3.1346981700649659</v>
      </c>
      <c r="Y305" s="677">
        <v>1.9770000000000001</v>
      </c>
      <c r="Z305" s="677">
        <v>1.7841214124022271</v>
      </c>
      <c r="AA305" s="677">
        <v>2.4999617238612037</v>
      </c>
      <c r="AB305" s="677">
        <v>2.4645577184076859</v>
      </c>
      <c r="AC305" s="677">
        <v>1.78</v>
      </c>
    </row>
    <row r="306" spans="23:29" x14ac:dyDescent="0.25">
      <c r="W306" t="s">
        <v>87</v>
      </c>
      <c r="X306" s="677">
        <v>2.9827529925932046</v>
      </c>
      <c r="Y306" s="677">
        <v>1.8698000000000001</v>
      </c>
      <c r="Z306" s="677">
        <v>1.6982341725746628</v>
      </c>
      <c r="AA306" s="677">
        <v>2.4306043017997778</v>
      </c>
      <c r="AB306" s="677">
        <v>2.398312243379046</v>
      </c>
      <c r="AC306" s="677">
        <v>1.82</v>
      </c>
    </row>
    <row r="307" spans="23:29" x14ac:dyDescent="0.25">
      <c r="W307" t="s">
        <v>88</v>
      </c>
      <c r="X307" s="677">
        <v>2.4118532270936073</v>
      </c>
      <c r="Y307" s="677">
        <v>1.9249999999999998</v>
      </c>
      <c r="Z307" s="677">
        <v>1.9163081749914115</v>
      </c>
      <c r="AA307" s="677">
        <v>2.5207538153796696</v>
      </c>
      <c r="AB307" s="677">
        <v>2.5024999999999999</v>
      </c>
      <c r="AC307" s="677">
        <v>1.89</v>
      </c>
    </row>
    <row r="308" spans="23:29" x14ac:dyDescent="0.25">
      <c r="W308" t="s">
        <v>89</v>
      </c>
      <c r="X308" s="677">
        <v>2.4974566697046532</v>
      </c>
      <c r="Y308" s="677">
        <v>1.992</v>
      </c>
      <c r="Z308" s="677">
        <v>1.9564045168875341</v>
      </c>
      <c r="AA308" s="677">
        <v>2.5623828240922117</v>
      </c>
      <c r="AB308" s="677">
        <v>2.5250000000000004</v>
      </c>
      <c r="AC308" s="677">
        <v>1.89</v>
      </c>
    </row>
    <row r="309" spans="23:29" x14ac:dyDescent="0.25">
      <c r="W309" t="s">
        <v>90</v>
      </c>
      <c r="X309" s="677">
        <v>2.4271515534793955</v>
      </c>
      <c r="Y309" s="677">
        <v>2.1745999999999999</v>
      </c>
      <c r="Z309" s="677">
        <v>2.1224007089818619</v>
      </c>
      <c r="AA309" s="677">
        <v>2.6320078388823158</v>
      </c>
      <c r="AB309" s="677">
        <v>2.738</v>
      </c>
      <c r="AC309" s="677">
        <v>2.08</v>
      </c>
    </row>
    <row r="310" spans="23:29" x14ac:dyDescent="0.25">
      <c r="W310" t="s">
        <v>91</v>
      </c>
      <c r="X310" s="677">
        <v>2.7319359523562365</v>
      </c>
      <c r="Y310" s="677">
        <v>2.3587500000000001</v>
      </c>
      <c r="Z310" s="677">
        <v>2.2499591899379503</v>
      </c>
      <c r="AA310" s="677">
        <v>2.759744801541439</v>
      </c>
      <c r="AB310" s="677">
        <v>2.8574999999999999</v>
      </c>
      <c r="AC310" s="677">
        <v>2.23</v>
      </c>
    </row>
    <row r="311" spans="23:29" x14ac:dyDescent="0.25">
      <c r="W311" t="s">
        <v>93</v>
      </c>
      <c r="X311" s="677">
        <v>3.0816694064371242</v>
      </c>
      <c r="Y311" s="677">
        <v>2.35</v>
      </c>
      <c r="Z311" s="677">
        <v>2.1495258602447693</v>
      </c>
      <c r="AA311" s="677">
        <v>2.75510595544631</v>
      </c>
      <c r="AB311" s="677">
        <v>2.7850000000000001</v>
      </c>
      <c r="AC311" s="677">
        <v>2.16</v>
      </c>
    </row>
    <row r="312" spans="23:29" x14ac:dyDescent="0.25">
      <c r="W312" t="s">
        <v>94</v>
      </c>
      <c r="X312" s="677">
        <v>3.0378358405168173</v>
      </c>
      <c r="Y312" s="677">
        <v>2.2001999999999997</v>
      </c>
      <c r="Z312" s="677">
        <v>2.151743132961184</v>
      </c>
      <c r="AA312" s="677">
        <v>2.648964445795376</v>
      </c>
      <c r="AB312" s="677">
        <v>2.71</v>
      </c>
      <c r="AC312" s="677">
        <v>2.04</v>
      </c>
    </row>
    <row r="313" spans="23:29" x14ac:dyDescent="0.25">
      <c r="W313" t="s">
        <v>101</v>
      </c>
      <c r="X313" s="677">
        <v>3.0466662447797779</v>
      </c>
      <c r="Y313" s="677">
        <v>2.30375</v>
      </c>
      <c r="Z313" s="677">
        <v>2.2412159795151148</v>
      </c>
      <c r="AA313" s="677">
        <v>2.7396838158907384</v>
      </c>
      <c r="AB313" s="677">
        <v>2.8</v>
      </c>
      <c r="AC313" s="677">
        <v>2.195532</v>
      </c>
    </row>
    <row r="314" spans="23:29" x14ac:dyDescent="0.25">
      <c r="W314" t="s">
        <v>95</v>
      </c>
      <c r="X314" s="677">
        <v>3.1626212903487692</v>
      </c>
      <c r="Y314" s="677">
        <v>2.3559999999999999</v>
      </c>
      <c r="Z314" s="677">
        <v>2.3431458543022257</v>
      </c>
      <c r="AA314" s="677">
        <v>2.7924782407988937</v>
      </c>
      <c r="AB314" s="677">
        <v>2.8940000000000001</v>
      </c>
      <c r="AC314" s="677">
        <v>2.23</v>
      </c>
    </row>
    <row r="315" spans="23:29" x14ac:dyDescent="0.25">
      <c r="W315" t="s">
        <v>96</v>
      </c>
      <c r="X315" s="677">
        <v>3.0898774272862419</v>
      </c>
      <c r="Y315" s="677">
        <v>2.3649999999999998</v>
      </c>
      <c r="Z315" s="677">
        <v>2.2877310697793765</v>
      </c>
      <c r="AA315" s="677">
        <v>2.828407899958882</v>
      </c>
      <c r="AB315" s="677">
        <v>2.82</v>
      </c>
      <c r="AC315" s="677">
        <v>2.23</v>
      </c>
    </row>
    <row r="316" spans="23:29" x14ac:dyDescent="0.25">
      <c r="W316" t="s">
        <v>97</v>
      </c>
      <c r="X316" s="677">
        <v>2.9018263010604821</v>
      </c>
      <c r="Y316" s="677">
        <v>2.3450000000000002</v>
      </c>
      <c r="Z316" s="677">
        <v>2.4106470991411317</v>
      </c>
      <c r="AA316" s="677">
        <v>2.8341175621442134</v>
      </c>
      <c r="AB316" s="677">
        <v>2.9174999999999995</v>
      </c>
      <c r="AC316" s="677">
        <v>2.35</v>
      </c>
    </row>
    <row r="328" spans="22:31" ht="15.6" x14ac:dyDescent="0.25">
      <c r="V328" s="864" t="s">
        <v>41</v>
      </c>
      <c r="W328" s="864"/>
      <c r="X328" s="864"/>
      <c r="Y328" s="864"/>
      <c r="Z328" s="864"/>
      <c r="AA328" s="864"/>
      <c r="AB328" s="864"/>
      <c r="AC328" s="864"/>
      <c r="AD328" s="864"/>
      <c r="AE328" s="864"/>
    </row>
    <row r="329" spans="22:31" ht="15.6" x14ac:dyDescent="0.25">
      <c r="V329" s="864" t="s">
        <v>42</v>
      </c>
      <c r="W329" s="864"/>
      <c r="X329" s="864"/>
      <c r="Y329" s="864"/>
      <c r="Z329" s="864"/>
      <c r="AA329" s="864"/>
      <c r="AB329" s="864"/>
      <c r="AC329" s="864"/>
      <c r="AD329" s="864"/>
      <c r="AE329" s="864"/>
    </row>
    <row r="330" spans="22:31" ht="15.6" x14ac:dyDescent="0.25">
      <c r="V330" s="864" t="s">
        <v>272</v>
      </c>
      <c r="W330" s="864"/>
      <c r="X330" s="864"/>
      <c r="Y330" s="864"/>
      <c r="Z330" s="864"/>
      <c r="AA330" s="864"/>
      <c r="AB330" s="864"/>
      <c r="AC330" s="864"/>
      <c r="AD330" s="864"/>
      <c r="AE330" s="864"/>
    </row>
    <row r="331" spans="22:31" ht="15.6" x14ac:dyDescent="0.25">
      <c r="V331" s="864" t="s">
        <v>7</v>
      </c>
      <c r="W331" s="864"/>
      <c r="X331" s="864"/>
      <c r="Y331" s="864"/>
      <c r="Z331" s="864"/>
      <c r="AA331" s="864"/>
      <c r="AB331" s="864"/>
      <c r="AC331" s="864"/>
      <c r="AD331" s="864"/>
      <c r="AE331" s="864"/>
    </row>
    <row r="332" spans="22:31" ht="15.6" x14ac:dyDescent="0.25">
      <c r="V332" s="41"/>
      <c r="W332" s="41"/>
      <c r="X332" s="41" t="s">
        <v>281</v>
      </c>
      <c r="Y332" s="41"/>
      <c r="Z332" s="41"/>
      <c r="AA332" s="41"/>
      <c r="AB332" s="41"/>
      <c r="AC332" s="41"/>
      <c r="AD332" s="41"/>
      <c r="AE332" s="41"/>
    </row>
    <row r="333" spans="22:31" ht="14.4" x14ac:dyDescent="0.25">
      <c r="X333" s="729" t="s">
        <v>275</v>
      </c>
      <c r="Y333" s="729" t="s">
        <v>276</v>
      </c>
      <c r="Z333" s="729" t="s">
        <v>277</v>
      </c>
      <c r="AA333" s="729" t="s">
        <v>278</v>
      </c>
      <c r="AB333" s="729" t="s">
        <v>279</v>
      </c>
      <c r="AC333" s="729" t="s">
        <v>280</v>
      </c>
    </row>
    <row r="335" spans="22:31" x14ac:dyDescent="0.25">
      <c r="W335" t="s">
        <v>144</v>
      </c>
      <c r="X335" s="677">
        <v>4.1560054727224687</v>
      </c>
      <c r="Y335" s="677">
        <v>2.7867499999999996</v>
      </c>
      <c r="Z335" s="677">
        <v>2.7392131556135602</v>
      </c>
      <c r="AA335" s="677">
        <v>3.5684769505566565</v>
      </c>
      <c r="AB335" s="677">
        <v>3.4560412522635726</v>
      </c>
      <c r="AC335" s="677">
        <v>2.7122391000000001</v>
      </c>
    </row>
    <row r="336" spans="22:31" x14ac:dyDescent="0.25">
      <c r="W336" t="s">
        <v>87</v>
      </c>
      <c r="X336" s="677">
        <v>3.7408287314382487</v>
      </c>
      <c r="Y336" s="677">
        <v>2.8282499999999997</v>
      </c>
      <c r="Z336" s="677">
        <v>2.9338892412073383</v>
      </c>
      <c r="AA336" s="677">
        <v>3.5818711979762998</v>
      </c>
      <c r="AB336" s="677">
        <v>3.5769056915497908</v>
      </c>
      <c r="AC336" s="677">
        <v>2.7169708499999996</v>
      </c>
    </row>
    <row r="337" spans="23:29" x14ac:dyDescent="0.25">
      <c r="W337" t="s">
        <v>88</v>
      </c>
      <c r="X337" s="677">
        <v>3.9413615072948938</v>
      </c>
      <c r="Y337" s="677">
        <v>3.1370000000000005</v>
      </c>
      <c r="Z337" s="677">
        <v>3.1632948549697173</v>
      </c>
      <c r="AA337" s="677">
        <v>3.839497315524163</v>
      </c>
      <c r="AB337" s="677">
        <v>3.8374444509756338</v>
      </c>
      <c r="AC337" s="677">
        <v>2.9828952000000006</v>
      </c>
    </row>
    <row r="338" spans="23:29" x14ac:dyDescent="0.25">
      <c r="W338" t="s">
        <v>89</v>
      </c>
      <c r="X338" s="677">
        <v>4.2297665252594694</v>
      </c>
      <c r="Y338" s="677">
        <v>3.1462500000000002</v>
      </c>
      <c r="Z338" s="677">
        <v>3.217380434820583</v>
      </c>
      <c r="AA338" s="677">
        <v>3.8688684424856974</v>
      </c>
      <c r="AB338" s="677">
        <v>3.9019977069052958</v>
      </c>
      <c r="AC338" s="677">
        <v>3.0150711000000001</v>
      </c>
    </row>
    <row r="339" spans="23:29" x14ac:dyDescent="0.25">
      <c r="W339" t="s">
        <v>90</v>
      </c>
      <c r="X339" s="677">
        <v>4.2168553775001065</v>
      </c>
      <c r="Y339" s="677">
        <v>3.41675</v>
      </c>
      <c r="Z339" s="677">
        <v>3.3888425708412604</v>
      </c>
      <c r="AA339" s="677">
        <v>4.0454576052521283</v>
      </c>
      <c r="AB339" s="677">
        <v>4.2020665253320679</v>
      </c>
      <c r="AC339" s="677">
        <v>3.3103322999999998</v>
      </c>
    </row>
    <row r="340" spans="23:29" x14ac:dyDescent="0.25">
      <c r="W340" t="s">
        <v>91</v>
      </c>
      <c r="X340" s="677">
        <v>4.4903685429106099</v>
      </c>
      <c r="Y340" s="677">
        <v>3.6612499999999999</v>
      </c>
      <c r="Z340" s="677">
        <v>3.4329097122051171</v>
      </c>
      <c r="AA340" s="677">
        <v>4.1994106693977669</v>
      </c>
      <c r="AB340" s="677">
        <v>4.3986702524624262</v>
      </c>
      <c r="AC340" s="677">
        <v>3.4996022999999998</v>
      </c>
    </row>
    <row r="341" spans="23:29" x14ac:dyDescent="0.25">
      <c r="W341" t="s">
        <v>93</v>
      </c>
      <c r="X341" s="677">
        <v>4.7030392202896225</v>
      </c>
      <c r="Y341" s="677">
        <v>3.7757499999999999</v>
      </c>
      <c r="Z341" s="677">
        <v>3.4496004747623825</v>
      </c>
      <c r="AA341" s="677">
        <v>4.2743395819631687</v>
      </c>
      <c r="AB341" s="677">
        <v>4.4210501324687828</v>
      </c>
      <c r="AC341" s="677">
        <v>3.6065398499999999</v>
      </c>
    </row>
    <row r="342" spans="23:29" x14ac:dyDescent="0.25">
      <c r="W342" t="s">
        <v>94</v>
      </c>
      <c r="X342" s="677">
        <v>4.7408034772236824</v>
      </c>
      <c r="Y342" s="677">
        <v>3.5175000000000001</v>
      </c>
      <c r="Z342" s="677">
        <v>3.2152242532778184</v>
      </c>
      <c r="AA342" s="677">
        <v>4.056941737334367</v>
      </c>
      <c r="AB342" s="677">
        <v>4.0577858274699308</v>
      </c>
      <c r="AC342" s="677">
        <v>3.3425081999999997</v>
      </c>
    </row>
    <row r="343" spans="23:29" x14ac:dyDescent="0.25">
      <c r="W343" t="s">
        <v>101</v>
      </c>
      <c r="X343" s="677">
        <v>4.5163497984069281</v>
      </c>
      <c r="Y343" s="677">
        <v>3.02475</v>
      </c>
      <c r="Z343" s="677">
        <v>2.9766027592784012</v>
      </c>
      <c r="AA343" s="677">
        <v>3.7177429217510172</v>
      </c>
      <c r="AB343" s="677">
        <v>3.5336367258058483</v>
      </c>
      <c r="AC343" s="677">
        <v>2.8702795500000002</v>
      </c>
    </row>
    <row r="344" spans="23:29" x14ac:dyDescent="0.25">
      <c r="W344" t="s">
        <v>95</v>
      </c>
      <c r="X344" s="677">
        <v>3.939910622680701</v>
      </c>
      <c r="Y344" s="677">
        <v>2.8114999999999997</v>
      </c>
      <c r="Z344" s="677">
        <v>2.8622120776115532</v>
      </c>
      <c r="AA344" s="677">
        <v>3.5466939354604383</v>
      </c>
      <c r="AB344" s="677">
        <v>3.453136790381679</v>
      </c>
      <c r="AC344" s="677">
        <v>2.6989901999999999</v>
      </c>
    </row>
    <row r="345" spans="23:29" x14ac:dyDescent="0.25">
      <c r="W345" t="s">
        <v>96</v>
      </c>
      <c r="X345" s="677">
        <v>3.9238079461601689</v>
      </c>
      <c r="Y345" s="677">
        <v>2.7577500000000001</v>
      </c>
      <c r="Z345" s="677">
        <v>2.7929929855056423</v>
      </c>
      <c r="AA345" s="677">
        <v>3.4906983926848096</v>
      </c>
      <c r="AB345" s="677">
        <v>3.4062408592975708</v>
      </c>
      <c r="AC345" s="677">
        <v>2.6459946000000003</v>
      </c>
    </row>
    <row r="346" spans="23:29" x14ac:dyDescent="0.25">
      <c r="W346" t="s">
        <v>97</v>
      </c>
      <c r="X346" s="677">
        <v>3.9199980593605241</v>
      </c>
      <c r="Y346" s="677">
        <v>2.6479999999999997</v>
      </c>
      <c r="Z346" s="677">
        <v>2.656555226473849</v>
      </c>
      <c r="AA346" s="677">
        <v>3.4153466914214441</v>
      </c>
      <c r="AB346" s="677">
        <v>3.3126609941823051</v>
      </c>
      <c r="AC346" s="677">
        <v>2.5097202000000003</v>
      </c>
    </row>
    <row r="349" spans="23:29" ht="15.6" x14ac:dyDescent="0.25">
      <c r="X349" s="41" t="s">
        <v>282</v>
      </c>
    </row>
    <row r="350" spans="23:29" ht="14.4" x14ac:dyDescent="0.25">
      <c r="X350" s="729" t="s">
        <v>275</v>
      </c>
      <c r="Y350" s="729" t="s">
        <v>276</v>
      </c>
      <c r="Z350" s="729" t="s">
        <v>277</v>
      </c>
      <c r="AA350" s="729" t="s">
        <v>278</v>
      </c>
      <c r="AB350" s="729" t="s">
        <v>279</v>
      </c>
      <c r="AC350" s="729" t="s">
        <v>280</v>
      </c>
    </row>
    <row r="352" spans="23:29" x14ac:dyDescent="0.25">
      <c r="W352" t="s">
        <v>144</v>
      </c>
      <c r="X352" s="677">
        <v>3.9385539752000276</v>
      </c>
      <c r="Y352" s="677">
        <v>2.5460000000000003</v>
      </c>
      <c r="Z352" s="677">
        <v>2.5453797220440264</v>
      </c>
      <c r="AA352" s="677">
        <v>3.2636125658632356</v>
      </c>
      <c r="AB352" s="677">
        <v>3.2235141170103736</v>
      </c>
      <c r="AC352" s="677">
        <v>2.4784906500000004</v>
      </c>
    </row>
    <row r="353" spans="23:29" x14ac:dyDescent="0.25">
      <c r="W353" t="s">
        <v>87</v>
      </c>
      <c r="X353" s="677">
        <v>3.5072511106594986</v>
      </c>
      <c r="Y353" s="677">
        <v>2.633</v>
      </c>
      <c r="Z353" s="677">
        <v>2.7380835910567702</v>
      </c>
      <c r="AA353" s="677">
        <v>3.3009642978981852</v>
      </c>
      <c r="AB353" s="677">
        <v>3.4078533748007076</v>
      </c>
      <c r="AC353" s="677">
        <v>2.5390570500000003</v>
      </c>
    </row>
    <row r="354" spans="23:29" x14ac:dyDescent="0.25">
      <c r="W354" t="s">
        <v>88</v>
      </c>
      <c r="X354" s="677">
        <v>3.751848358146094</v>
      </c>
      <c r="Y354" s="677">
        <v>2.9377500000000003</v>
      </c>
      <c r="Z354" s="677">
        <v>2.9658761926973956</v>
      </c>
      <c r="AA354" s="677">
        <v>3.5644515802237784</v>
      </c>
      <c r="AB354" s="677">
        <v>3.6563268898910595</v>
      </c>
      <c r="AC354" s="677">
        <v>2.8134985500000003</v>
      </c>
    </row>
    <row r="355" spans="23:29" x14ac:dyDescent="0.25">
      <c r="W355" t="s">
        <v>89</v>
      </c>
      <c r="X355" s="677">
        <v>4.0385723556992641</v>
      </c>
      <c r="Y355" s="677">
        <v>2.9370000000000003</v>
      </c>
      <c r="Z355" s="677">
        <v>3.0246068407039637</v>
      </c>
      <c r="AA355" s="677">
        <v>3.596600094621464</v>
      </c>
      <c r="AB355" s="677">
        <v>3.7219693452456637</v>
      </c>
      <c r="AC355" s="677">
        <v>2.8655477999999999</v>
      </c>
    </row>
    <row r="356" spans="23:29" x14ac:dyDescent="0.25">
      <c r="W356" t="s">
        <v>90</v>
      </c>
      <c r="X356" s="677">
        <v>4.0411538027181884</v>
      </c>
      <c r="Y356" s="677">
        <v>3.1420000000000003</v>
      </c>
      <c r="Z356" s="677">
        <v>3.1973420088812112</v>
      </c>
      <c r="AA356" s="677">
        <v>3.7393280419761425</v>
      </c>
      <c r="AB356" s="677">
        <v>3.9260278705872329</v>
      </c>
      <c r="AC356" s="677">
        <v>3.0699594000000001</v>
      </c>
    </row>
    <row r="357" spans="23:29" x14ac:dyDescent="0.25">
      <c r="W357" t="s">
        <v>91</v>
      </c>
      <c r="X357" s="677">
        <v>4.2599141697907807</v>
      </c>
      <c r="Y357" s="677">
        <v>3.2675000000000001</v>
      </c>
      <c r="Z357" s="677">
        <v>3.2377560434906862</v>
      </c>
      <c r="AA357" s="677">
        <v>3.8417328888275741</v>
      </c>
      <c r="AB357" s="677">
        <v>3.9872079121979556</v>
      </c>
      <c r="AC357" s="677">
        <v>3.1399892999999999</v>
      </c>
    </row>
    <row r="358" spans="23:29" x14ac:dyDescent="0.25">
      <c r="W358" t="s">
        <v>93</v>
      </c>
      <c r="X358" s="677">
        <v>4.4512775878525499</v>
      </c>
      <c r="Y358" s="677">
        <v>3.2832499999999998</v>
      </c>
      <c r="Z358" s="677">
        <v>3.2554205124385494</v>
      </c>
      <c r="AA358" s="677">
        <v>3.8691344247390127</v>
      </c>
      <c r="AB358" s="677">
        <v>4.020869537320249</v>
      </c>
      <c r="AC358" s="677">
        <v>3.2147509500000004</v>
      </c>
    </row>
    <row r="359" spans="23:29" x14ac:dyDescent="0.25">
      <c r="W359" t="s">
        <v>94</v>
      </c>
      <c r="X359" s="677">
        <v>4.4816094742032471</v>
      </c>
      <c r="Y359" s="677">
        <v>3.1180000000000003</v>
      </c>
      <c r="Z359" s="677">
        <v>3.0207976057383625</v>
      </c>
      <c r="AA359" s="677">
        <v>3.6836099434282201</v>
      </c>
      <c r="AB359" s="677">
        <v>3.7156938014191185</v>
      </c>
      <c r="AC359" s="677">
        <v>2.99519775</v>
      </c>
    </row>
    <row r="360" spans="23:29" x14ac:dyDescent="0.25">
      <c r="W360" t="s">
        <v>101</v>
      </c>
      <c r="X360" s="677">
        <v>4.2838937530911583</v>
      </c>
      <c r="Y360" s="677">
        <v>2.8042499999999997</v>
      </c>
      <c r="Z360" s="677">
        <v>2.7840982323762322</v>
      </c>
      <c r="AA360" s="677">
        <v>3.4237221950957113</v>
      </c>
      <c r="AB360" s="677">
        <v>3.3321393606011718</v>
      </c>
      <c r="AC360" s="677">
        <v>2.6393701500000004</v>
      </c>
    </row>
    <row r="361" spans="23:29" x14ac:dyDescent="0.25">
      <c r="W361" t="s">
        <v>95</v>
      </c>
      <c r="X361" s="677">
        <v>3.7743258086136282</v>
      </c>
      <c r="Y361" s="677">
        <v>2.6189999999999998</v>
      </c>
      <c r="Z361" s="677">
        <v>2.668985555549078</v>
      </c>
      <c r="AA361" s="677">
        <v>3.2630402489870982</v>
      </c>
      <c r="AB361" s="677">
        <v>3.2522582426938924</v>
      </c>
      <c r="AC361" s="677">
        <v>2.5097202000000003</v>
      </c>
    </row>
    <row r="362" spans="23:29" x14ac:dyDescent="0.25">
      <c r="W362" t="s">
        <v>96</v>
      </c>
      <c r="X362" s="677">
        <v>3.7625073425197617</v>
      </c>
      <c r="Y362" s="677">
        <v>2.5505</v>
      </c>
      <c r="Z362" s="677">
        <v>2.5996414711407705</v>
      </c>
      <c r="AA362" s="677">
        <v>3.2034866256040844</v>
      </c>
      <c r="AB362" s="677">
        <v>3.2067992632190649</v>
      </c>
      <c r="AC362" s="677">
        <v>2.4491538000000004</v>
      </c>
    </row>
    <row r="363" spans="23:29" x14ac:dyDescent="0.25">
      <c r="W363" t="s">
        <v>97</v>
      </c>
      <c r="X363" s="677">
        <v>3.7587101248966741</v>
      </c>
      <c r="Y363" s="677">
        <v>2.4729999999999999</v>
      </c>
      <c r="Z363" s="677">
        <v>2.4621825148194434</v>
      </c>
      <c r="AA363" s="677">
        <v>3.1409388021523235</v>
      </c>
      <c r="AB363" s="677">
        <v>3.1652335552427413</v>
      </c>
      <c r="AC363" s="677">
        <v>2.3545188000000001</v>
      </c>
    </row>
    <row r="366" spans="23:29" ht="13.8" x14ac:dyDescent="0.25">
      <c r="X366" s="730" t="s">
        <v>76</v>
      </c>
    </row>
    <row r="367" spans="23:29" ht="14.4" x14ac:dyDescent="0.25">
      <c r="X367" s="729" t="s">
        <v>275</v>
      </c>
      <c r="Y367" s="729" t="s">
        <v>276</v>
      </c>
      <c r="Z367" s="729" t="s">
        <v>277</v>
      </c>
      <c r="AA367" s="729" t="s">
        <v>278</v>
      </c>
      <c r="AB367" s="729" t="s">
        <v>279</v>
      </c>
      <c r="AC367" s="729" t="s">
        <v>280</v>
      </c>
    </row>
    <row r="369" spans="23:29" x14ac:dyDescent="0.25">
      <c r="W369" t="s">
        <v>144</v>
      </c>
      <c r="X369" s="677">
        <v>3.7003397759213836</v>
      </c>
      <c r="Y369" s="677">
        <v>2.66825</v>
      </c>
      <c r="Z369" s="677">
        <v>2.4696493312768566</v>
      </c>
      <c r="AA369" s="677">
        <v>3.1143605611951131</v>
      </c>
      <c r="AB369" s="677">
        <v>3.0808462234769891</v>
      </c>
      <c r="AC369" s="677">
        <v>2.3933191500000004</v>
      </c>
    </row>
    <row r="370" spans="23:29" x14ac:dyDescent="0.25">
      <c r="W370" t="s">
        <v>87</v>
      </c>
      <c r="X370" s="677">
        <v>3.3050437901642198</v>
      </c>
      <c r="Y370" s="677">
        <v>2.6480000000000001</v>
      </c>
      <c r="Z370" s="677">
        <v>2.5900118148042237</v>
      </c>
      <c r="AA370" s="677">
        <v>3.0666671508839789</v>
      </c>
      <c r="AB370" s="677">
        <v>3.1479061058078148</v>
      </c>
      <c r="AC370" s="677">
        <v>2.3942654999999999</v>
      </c>
    </row>
    <row r="371" spans="23:29" x14ac:dyDescent="0.25">
      <c r="W371" t="s">
        <v>88</v>
      </c>
      <c r="X371" s="677">
        <v>3.4271845658940507</v>
      </c>
      <c r="Y371" s="677">
        <v>2.8362500000000002</v>
      </c>
      <c r="Z371" s="677">
        <v>2.659906608483511</v>
      </c>
      <c r="AA371" s="677">
        <v>3.2175750551586857</v>
      </c>
      <c r="AB371" s="677">
        <v>3.2501504001658308</v>
      </c>
      <c r="AC371" s="677">
        <v>2.5901599499999999</v>
      </c>
    </row>
    <row r="372" spans="23:29" x14ac:dyDescent="0.25">
      <c r="W372" t="s">
        <v>89</v>
      </c>
      <c r="X372" s="677">
        <v>3.5187324318398341</v>
      </c>
      <c r="Y372" s="677">
        <v>2.6617500000000001</v>
      </c>
      <c r="Z372" s="677">
        <v>2.6053485769474514</v>
      </c>
      <c r="AA372" s="677">
        <v>3.1040912128704736</v>
      </c>
      <c r="AB372" s="677">
        <v>3.1859532757338118</v>
      </c>
      <c r="AC372" s="677">
        <v>2.4661881000000001</v>
      </c>
    </row>
    <row r="373" spans="23:29" x14ac:dyDescent="0.25">
      <c r="W373" t="s">
        <v>90</v>
      </c>
      <c r="X373" s="677">
        <v>3.3596469052294911</v>
      </c>
      <c r="Y373" s="677">
        <v>2.8652500000000001</v>
      </c>
      <c r="Z373" s="677">
        <v>2.7730960712247716</v>
      </c>
      <c r="AA373" s="677">
        <v>3.2972980252739155</v>
      </c>
      <c r="AB373" s="677">
        <v>3.3679920601840267</v>
      </c>
      <c r="AC373" s="677">
        <v>2.6705996999999999</v>
      </c>
    </row>
    <row r="374" spans="23:29" x14ac:dyDescent="0.25">
      <c r="W374" t="s">
        <v>91</v>
      </c>
      <c r="X374" s="677">
        <v>3.5895014479876415</v>
      </c>
      <c r="Y374" s="677">
        <v>2.8994999999999997</v>
      </c>
      <c r="Z374" s="677">
        <v>2.7122032675430887</v>
      </c>
      <c r="AA374" s="677">
        <v>3.3202582044352091</v>
      </c>
      <c r="AB374" s="677">
        <v>3.3074228031907094</v>
      </c>
      <c r="AC374" s="677">
        <v>2.6592435000000001</v>
      </c>
    </row>
    <row r="375" spans="23:29" x14ac:dyDescent="0.25">
      <c r="W375" t="s">
        <v>93</v>
      </c>
      <c r="X375" s="677">
        <v>3.4855670892908006</v>
      </c>
      <c r="Y375" s="677">
        <v>2.7497500000000001</v>
      </c>
      <c r="Z375" s="677">
        <v>2.5327206864716079</v>
      </c>
      <c r="AA375" s="677">
        <v>3.1853206419428925</v>
      </c>
      <c r="AB375" s="677">
        <v>3.1543496722314375</v>
      </c>
      <c r="AC375" s="677">
        <v>2.5248618</v>
      </c>
    </row>
    <row r="376" spans="23:29" x14ac:dyDescent="0.25">
      <c r="W376" t="s">
        <v>94</v>
      </c>
      <c r="X376" s="677">
        <v>3.3450070590375405</v>
      </c>
      <c r="Y376" s="677">
        <v>2.5622500000000001</v>
      </c>
      <c r="Z376" s="677">
        <v>2.3029916387232952</v>
      </c>
      <c r="AA376" s="677">
        <v>3.0044690284685309</v>
      </c>
      <c r="AB376" s="677">
        <v>2.9424395980982445</v>
      </c>
      <c r="AC376" s="677">
        <v>2.3431626000000003</v>
      </c>
    </row>
    <row r="377" spans="23:29" x14ac:dyDescent="0.25">
      <c r="W377" t="s">
        <v>101</v>
      </c>
      <c r="X377" s="677">
        <v>3.2019977920222216</v>
      </c>
      <c r="Y377" s="677">
        <v>2.4322499999999998</v>
      </c>
      <c r="Z377" s="677">
        <v>2.2764553507791208</v>
      </c>
      <c r="AA377" s="677">
        <v>2.9025152017190572</v>
      </c>
      <c r="AB377" s="677">
        <v>2.8871274678734378</v>
      </c>
      <c r="AC377" s="677">
        <v>2.2371714000000003</v>
      </c>
    </row>
    <row r="378" spans="23:29" x14ac:dyDescent="0.25">
      <c r="W378" t="s">
        <v>95</v>
      </c>
      <c r="X378" s="677">
        <v>3.2062762939782927</v>
      </c>
      <c r="Y378" s="677">
        <v>2.4452499999999997</v>
      </c>
      <c r="Z378" s="677">
        <v>2.2965836544926006</v>
      </c>
      <c r="AA378" s="677">
        <v>2.8814210948336205</v>
      </c>
      <c r="AB378" s="677">
        <v>2.8956170929408609</v>
      </c>
      <c r="AC378" s="677">
        <v>2.2258151999999995</v>
      </c>
    </row>
    <row r="379" spans="23:29" x14ac:dyDescent="0.25">
      <c r="W379" t="s">
        <v>96</v>
      </c>
      <c r="X379" s="677">
        <v>3.1506192912126494</v>
      </c>
      <c r="Y379" s="677">
        <v>2.41275</v>
      </c>
      <c r="Z379" s="677">
        <v>2.2701160038248944</v>
      </c>
      <c r="AA379" s="677">
        <v>2.8551642945280902</v>
      </c>
      <c r="AB379" s="677">
        <v>2.855973554453084</v>
      </c>
      <c r="AC379" s="677">
        <v>2.1955319999999996</v>
      </c>
    </row>
    <row r="380" spans="23:29" x14ac:dyDescent="0.25">
      <c r="W380" t="s">
        <v>97</v>
      </c>
      <c r="X380" s="677">
        <v>3.1486209814899384</v>
      </c>
      <c r="Y380" s="677">
        <v>2.2357499999999999</v>
      </c>
      <c r="Z380" s="677">
        <v>2.0892552217908777</v>
      </c>
      <c r="AA380" s="677">
        <v>2.7395516384761054</v>
      </c>
      <c r="AB380" s="677">
        <v>2.6201749169851341</v>
      </c>
      <c r="AC380" s="677">
        <v>2.0649357000000004</v>
      </c>
    </row>
  </sheetData>
  <mergeCells count="40">
    <mergeCell ref="B197:T197"/>
    <mergeCell ref="B198:T198"/>
    <mergeCell ref="B199:T199"/>
    <mergeCell ref="B200:T200"/>
    <mergeCell ref="V328:AE328"/>
    <mergeCell ref="V264:AE264"/>
    <mergeCell ref="V265:AE265"/>
    <mergeCell ref="V266:AE266"/>
    <mergeCell ref="V267:AE267"/>
    <mergeCell ref="V329:AE329"/>
    <mergeCell ref="V330:AE330"/>
    <mergeCell ref="V331:AE331"/>
    <mergeCell ref="V202:AE202"/>
    <mergeCell ref="V203:AE203"/>
    <mergeCell ref="V204:AE204"/>
    <mergeCell ref="V205:AE205"/>
    <mergeCell ref="V138:AE138"/>
    <mergeCell ref="V139:AE139"/>
    <mergeCell ref="V140:AE140"/>
    <mergeCell ref="B132:T132"/>
    <mergeCell ref="B133:T133"/>
    <mergeCell ref="B134:T134"/>
    <mergeCell ref="B135:T135"/>
    <mergeCell ref="V137:AE137"/>
    <mergeCell ref="V73:AE73"/>
    <mergeCell ref="V74:AE74"/>
    <mergeCell ref="V75:AE75"/>
    <mergeCell ref="B1:T1"/>
    <mergeCell ref="B2:T2"/>
    <mergeCell ref="B3:T3"/>
    <mergeCell ref="B4:T4"/>
    <mergeCell ref="V6:AE6"/>
    <mergeCell ref="V7:AE7"/>
    <mergeCell ref="V8:AE8"/>
    <mergeCell ref="V9:AE9"/>
    <mergeCell ref="B67:T67"/>
    <mergeCell ref="B68:T68"/>
    <mergeCell ref="B69:T69"/>
    <mergeCell ref="B70:T70"/>
    <mergeCell ref="V72:AE72"/>
  </mergeCells>
  <phoneticPr fontId="26" type="noConversion"/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G24"/>
  <sheetViews>
    <sheetView zoomScale="75" workbookViewId="0">
      <selection activeCell="L22" sqref="L22"/>
    </sheetView>
  </sheetViews>
  <sheetFormatPr baseColWidth="10" defaultColWidth="11.44140625" defaultRowHeight="15" customHeight="1" x14ac:dyDescent="0.25"/>
  <cols>
    <col min="1" max="1" width="2.6640625" style="13" customWidth="1"/>
    <col min="2" max="2" width="22.44140625" style="41" customWidth="1"/>
    <col min="3" max="4" width="20.6640625" style="41" customWidth="1"/>
    <col min="5" max="7" width="20.6640625" style="45" customWidth="1"/>
    <col min="8" max="16384" width="11.44140625" style="13"/>
  </cols>
  <sheetData>
    <row r="1" spans="2:7" ht="15" customHeight="1" x14ac:dyDescent="0.25">
      <c r="B1" s="864" t="s">
        <v>62</v>
      </c>
      <c r="C1" s="864"/>
      <c r="D1" s="864"/>
      <c r="E1" s="864"/>
      <c r="F1" s="864"/>
      <c r="G1" s="864"/>
    </row>
    <row r="2" spans="2:7" ht="15" customHeight="1" x14ac:dyDescent="0.25">
      <c r="B2" s="864" t="s">
        <v>14</v>
      </c>
      <c r="C2" s="864"/>
      <c r="D2" s="864"/>
      <c r="E2" s="864"/>
      <c r="F2" s="864"/>
      <c r="G2" s="864"/>
    </row>
    <row r="3" spans="2:7" ht="15" customHeight="1" x14ac:dyDescent="0.25">
      <c r="B3" s="864">
        <v>2017</v>
      </c>
      <c r="C3" s="864"/>
      <c r="D3" s="864"/>
      <c r="E3" s="864"/>
      <c r="F3" s="864"/>
      <c r="G3" s="864"/>
    </row>
    <row r="4" spans="2:7" ht="15" customHeight="1" thickBot="1" x14ac:dyDescent="0.3"/>
    <row r="5" spans="2:7" ht="60" customHeight="1" thickBot="1" x14ac:dyDescent="0.3">
      <c r="B5" s="546" t="s">
        <v>2</v>
      </c>
      <c r="C5" s="547" t="s">
        <v>8</v>
      </c>
      <c r="D5" s="548" t="s">
        <v>9</v>
      </c>
      <c r="E5" s="549" t="s">
        <v>10</v>
      </c>
      <c r="F5" s="550" t="s">
        <v>11</v>
      </c>
      <c r="G5" s="548" t="s">
        <v>12</v>
      </c>
    </row>
    <row r="6" spans="2:7" ht="54.9" customHeight="1" thickBot="1" x14ac:dyDescent="0.3">
      <c r="B6" s="540" t="s">
        <v>235</v>
      </c>
      <c r="C6" s="541" t="s">
        <v>236</v>
      </c>
      <c r="D6" s="544" t="s">
        <v>237</v>
      </c>
      <c r="E6" s="50" t="s">
        <v>77</v>
      </c>
      <c r="F6" s="42" t="s">
        <v>13</v>
      </c>
      <c r="G6" s="53">
        <v>35000</v>
      </c>
    </row>
    <row r="7" spans="2:7" ht="30" customHeight="1" x14ac:dyDescent="0.25">
      <c r="B7" s="904" t="s">
        <v>15</v>
      </c>
      <c r="C7" s="914" t="s">
        <v>238</v>
      </c>
      <c r="D7" s="542" t="s">
        <v>16</v>
      </c>
      <c r="E7" s="38" t="s">
        <v>104</v>
      </c>
      <c r="F7" s="896" t="s">
        <v>17</v>
      </c>
      <c r="G7" s="54">
        <v>1589000</v>
      </c>
    </row>
    <row r="8" spans="2:7" ht="30" customHeight="1" thickBot="1" x14ac:dyDescent="0.3">
      <c r="B8" s="905"/>
      <c r="C8" s="915"/>
      <c r="D8" s="543" t="s">
        <v>20</v>
      </c>
      <c r="E8" s="40" t="s">
        <v>105</v>
      </c>
      <c r="F8" s="897"/>
      <c r="G8" s="55">
        <v>1761000</v>
      </c>
    </row>
    <row r="9" spans="2:7" ht="30" customHeight="1" x14ac:dyDescent="0.25">
      <c r="B9" s="890" t="s">
        <v>223</v>
      </c>
      <c r="C9" s="893" t="s">
        <v>223</v>
      </c>
      <c r="D9" s="542" t="s">
        <v>21</v>
      </c>
      <c r="E9" s="38" t="s">
        <v>106</v>
      </c>
      <c r="F9" s="896" t="s">
        <v>18</v>
      </c>
      <c r="G9" s="54">
        <v>7585500</v>
      </c>
    </row>
    <row r="10" spans="2:7" ht="30" customHeight="1" thickBot="1" x14ac:dyDescent="0.3">
      <c r="B10" s="898"/>
      <c r="C10" s="900"/>
      <c r="D10" s="543" t="s">
        <v>80</v>
      </c>
      <c r="E10" s="40" t="s">
        <v>107</v>
      </c>
      <c r="F10" s="899"/>
      <c r="G10" s="55">
        <v>7069100</v>
      </c>
    </row>
    <row r="11" spans="2:7" ht="30" customHeight="1" x14ac:dyDescent="0.25">
      <c r="B11" s="906" t="s">
        <v>19</v>
      </c>
      <c r="C11" s="908" t="s">
        <v>19</v>
      </c>
      <c r="D11" s="910" t="s">
        <v>16</v>
      </c>
      <c r="E11" s="912" t="s">
        <v>104</v>
      </c>
      <c r="F11" s="491" t="s">
        <v>220</v>
      </c>
      <c r="G11" s="54">
        <v>68571</v>
      </c>
    </row>
    <row r="12" spans="2:7" ht="30" customHeight="1" thickBot="1" x14ac:dyDescent="0.3">
      <c r="B12" s="907"/>
      <c r="C12" s="909"/>
      <c r="D12" s="911"/>
      <c r="E12" s="913"/>
      <c r="F12" s="492" t="s">
        <v>221</v>
      </c>
      <c r="G12" s="55">
        <v>505000</v>
      </c>
    </row>
    <row r="13" spans="2:7" ht="60" customHeight="1" thickBot="1" x14ac:dyDescent="0.3">
      <c r="B13" s="540" t="s">
        <v>239</v>
      </c>
      <c r="C13" s="541" t="s">
        <v>240</v>
      </c>
      <c r="D13" s="544" t="s">
        <v>22</v>
      </c>
      <c r="E13" s="51" t="s">
        <v>108</v>
      </c>
      <c r="F13" s="44" t="s">
        <v>222</v>
      </c>
      <c r="G13" s="56">
        <v>3351984</v>
      </c>
    </row>
    <row r="14" spans="2:7" ht="39.9" customHeight="1" thickBot="1" x14ac:dyDescent="0.3">
      <c r="B14" s="890" t="s">
        <v>241</v>
      </c>
      <c r="C14" s="893" t="s">
        <v>224</v>
      </c>
      <c r="D14" s="679" t="s">
        <v>248</v>
      </c>
      <c r="E14" s="38" t="s">
        <v>242</v>
      </c>
      <c r="F14" s="896" t="s">
        <v>246</v>
      </c>
      <c r="G14" s="887">
        <v>1547667</v>
      </c>
    </row>
    <row r="15" spans="2:7" ht="41.25" customHeight="1" x14ac:dyDescent="0.25">
      <c r="B15" s="891"/>
      <c r="C15" s="894"/>
      <c r="D15" s="679" t="s">
        <v>248</v>
      </c>
      <c r="E15" s="39" t="s">
        <v>108</v>
      </c>
      <c r="F15" s="897"/>
      <c r="G15" s="888"/>
    </row>
    <row r="16" spans="2:7" ht="44.25" customHeight="1" thickBot="1" x14ac:dyDescent="0.3">
      <c r="B16" s="892"/>
      <c r="C16" s="895"/>
      <c r="D16" s="545" t="s">
        <v>3</v>
      </c>
      <c r="E16" s="178" t="s">
        <v>77</v>
      </c>
      <c r="F16" s="899"/>
      <c r="G16" s="889"/>
    </row>
    <row r="17" spans="2:7" ht="44.25" customHeight="1" thickBot="1" x14ac:dyDescent="0.3">
      <c r="B17" s="540" t="s">
        <v>4</v>
      </c>
      <c r="C17" s="541" t="s">
        <v>4</v>
      </c>
      <c r="D17" s="544" t="s">
        <v>5</v>
      </c>
      <c r="E17" s="180" t="s">
        <v>6</v>
      </c>
      <c r="F17" s="44" t="s">
        <v>17</v>
      </c>
      <c r="G17" s="179">
        <v>2495500</v>
      </c>
    </row>
    <row r="18" spans="2:7" ht="53.25" customHeight="1" thickBot="1" x14ac:dyDescent="0.3">
      <c r="B18" s="540" t="s">
        <v>243</v>
      </c>
      <c r="C18" s="680" t="s">
        <v>244</v>
      </c>
      <c r="D18" s="675" t="s">
        <v>245</v>
      </c>
      <c r="E18" s="676"/>
      <c r="F18" s="44" t="s">
        <v>17</v>
      </c>
      <c r="G18" s="179">
        <v>750000</v>
      </c>
    </row>
    <row r="19" spans="2:7" ht="53.25" customHeight="1" thickBot="1" x14ac:dyDescent="0.3">
      <c r="B19" s="540" t="s">
        <v>249</v>
      </c>
      <c r="C19" s="680" t="s">
        <v>250</v>
      </c>
      <c r="D19" s="675" t="s">
        <v>251</v>
      </c>
      <c r="E19" s="676">
        <v>49</v>
      </c>
      <c r="F19" s="44" t="s">
        <v>252</v>
      </c>
      <c r="G19" s="179">
        <v>2000000</v>
      </c>
    </row>
    <row r="20" spans="2:7" ht="53.25" customHeight="1" thickBot="1" x14ac:dyDescent="0.3">
      <c r="B20" s="540" t="s">
        <v>257</v>
      </c>
      <c r="C20" s="540" t="s">
        <v>257</v>
      </c>
      <c r="D20" s="675" t="s">
        <v>258</v>
      </c>
      <c r="E20" s="676">
        <v>44</v>
      </c>
      <c r="F20" s="44" t="s">
        <v>252</v>
      </c>
      <c r="G20" s="179">
        <v>1180000</v>
      </c>
    </row>
    <row r="21" spans="2:7" ht="30" customHeight="1" thickBot="1" x14ac:dyDescent="0.3">
      <c r="B21" s="52"/>
      <c r="C21" s="52"/>
      <c r="D21" s="31"/>
      <c r="E21" s="7"/>
      <c r="F21" s="32"/>
      <c r="G21" s="57"/>
    </row>
    <row r="22" spans="2:7" s="47" customFormat="1" ht="60" customHeight="1" thickBot="1" x14ac:dyDescent="0.3">
      <c r="B22" s="901" t="s">
        <v>109</v>
      </c>
      <c r="C22" s="902"/>
      <c r="D22" s="902"/>
      <c r="E22" s="902"/>
      <c r="F22" s="903"/>
      <c r="G22" s="59">
        <f>SUM(G6:G20)</f>
        <v>29938322</v>
      </c>
    </row>
    <row r="23" spans="2:7" ht="15" customHeight="1" x14ac:dyDescent="0.25">
      <c r="G23" s="58"/>
    </row>
    <row r="24" spans="2:7" s="23" customFormat="1" ht="15" customHeight="1" x14ac:dyDescent="0.25">
      <c r="B24" s="49" t="s">
        <v>219</v>
      </c>
      <c r="C24" s="49"/>
      <c r="D24" s="49"/>
      <c r="G24" s="48"/>
    </row>
  </sheetData>
  <mergeCells count="18">
    <mergeCell ref="B22:F22"/>
    <mergeCell ref="B7:B8"/>
    <mergeCell ref="B11:B12"/>
    <mergeCell ref="C11:C12"/>
    <mergeCell ref="D11:D12"/>
    <mergeCell ref="E11:E12"/>
    <mergeCell ref="C7:C8"/>
    <mergeCell ref="F9:F10"/>
    <mergeCell ref="G14:G16"/>
    <mergeCell ref="B1:G1"/>
    <mergeCell ref="B2:G2"/>
    <mergeCell ref="B3:G3"/>
    <mergeCell ref="B14:B16"/>
    <mergeCell ref="C14:C16"/>
    <mergeCell ref="F7:F8"/>
    <mergeCell ref="B9:B10"/>
    <mergeCell ref="F14:F16"/>
    <mergeCell ref="C9:C10"/>
  </mergeCells>
  <phoneticPr fontId="0" type="noConversion"/>
  <printOptions horizontalCentered="1"/>
  <pageMargins left="0.59055118110236227" right="0.59055118110236227" top="0.59055118110236227" bottom="0.59055118110236227" header="0" footer="0"/>
  <pageSetup scale="7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76"/>
  <sheetViews>
    <sheetView workbookViewId="0">
      <selection activeCell="M1" sqref="M1"/>
    </sheetView>
  </sheetViews>
  <sheetFormatPr baseColWidth="10" defaultColWidth="11.44140625" defaultRowHeight="15" customHeight="1" x14ac:dyDescent="0.25"/>
  <cols>
    <col min="1" max="1" width="2.6640625" style="13" customWidth="1"/>
    <col min="2" max="4" width="15.6640625" style="13" customWidth="1"/>
    <col min="5" max="5" width="10.6640625" style="13" customWidth="1"/>
    <col min="6" max="6" width="15.6640625" style="13" customWidth="1"/>
    <col min="7" max="7" width="10.6640625" style="13" customWidth="1"/>
    <col min="8" max="8" width="15.6640625" style="13" customWidth="1"/>
    <col min="9" max="9" width="10.6640625" style="13" customWidth="1"/>
    <col min="10" max="10" width="15.6640625" style="13" customWidth="1"/>
    <col min="11" max="11" width="10.6640625" style="13" customWidth="1"/>
    <col min="12" max="16384" width="11.44140625" style="13"/>
  </cols>
  <sheetData>
    <row r="1" spans="2:11" ht="15" customHeight="1" x14ac:dyDescent="0.25">
      <c r="B1" s="864" t="s">
        <v>158</v>
      </c>
      <c r="C1" s="864"/>
      <c r="D1" s="864"/>
      <c r="E1" s="864"/>
      <c r="F1" s="864"/>
      <c r="G1" s="864"/>
      <c r="H1" s="864"/>
      <c r="I1" s="864"/>
      <c r="J1" s="864"/>
      <c r="K1" s="864"/>
    </row>
    <row r="2" spans="2:11" ht="15" customHeight="1" x14ac:dyDescent="0.25">
      <c r="B2" s="864" t="s">
        <v>24</v>
      </c>
      <c r="C2" s="864"/>
      <c r="D2" s="864"/>
      <c r="E2" s="864"/>
      <c r="F2" s="864"/>
      <c r="G2" s="864"/>
      <c r="H2" s="864"/>
      <c r="I2" s="864"/>
      <c r="J2" s="864"/>
      <c r="K2" s="864"/>
    </row>
    <row r="3" spans="2:11" ht="15" customHeight="1" x14ac:dyDescent="0.25">
      <c r="B3" s="864" t="s">
        <v>157</v>
      </c>
      <c r="C3" s="864"/>
      <c r="D3" s="864"/>
      <c r="E3" s="864"/>
      <c r="F3" s="864"/>
      <c r="G3" s="864"/>
      <c r="H3" s="864"/>
      <c r="I3" s="864"/>
      <c r="J3" s="864"/>
      <c r="K3" s="864"/>
    </row>
    <row r="4" spans="2:11" ht="15" customHeight="1" thickBot="1" x14ac:dyDescent="0.3"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2:11" ht="24.9" customHeight="1" thickBot="1" x14ac:dyDescent="0.3">
      <c r="B5" s="919" t="s">
        <v>159</v>
      </c>
      <c r="C5" s="920"/>
      <c r="D5" s="920"/>
      <c r="E5" s="920"/>
      <c r="F5" s="920"/>
      <c r="G5" s="920"/>
      <c r="H5" s="920"/>
      <c r="I5" s="920"/>
      <c r="J5" s="920"/>
      <c r="K5" s="921"/>
    </row>
    <row r="6" spans="2:11" ht="15" customHeight="1" x14ac:dyDescent="0.25">
      <c r="B6" s="922" t="s">
        <v>100</v>
      </c>
      <c r="C6" s="924" t="s">
        <v>25</v>
      </c>
      <c r="D6" s="916" t="s">
        <v>110</v>
      </c>
      <c r="E6" s="917"/>
      <c r="F6" s="918" t="s">
        <v>111</v>
      </c>
      <c r="G6" s="918"/>
      <c r="H6" s="916" t="s">
        <v>112</v>
      </c>
      <c r="I6" s="917"/>
      <c r="J6" s="916" t="s">
        <v>113</v>
      </c>
      <c r="K6" s="917"/>
    </row>
    <row r="7" spans="2:11" ht="15" customHeight="1" thickBot="1" x14ac:dyDescent="0.3">
      <c r="B7" s="923"/>
      <c r="C7" s="925"/>
      <c r="D7" s="551" t="s">
        <v>78</v>
      </c>
      <c r="E7" s="552" t="s">
        <v>114</v>
      </c>
      <c r="F7" s="551" t="s">
        <v>78</v>
      </c>
      <c r="G7" s="552" t="s">
        <v>114</v>
      </c>
      <c r="H7" s="551" t="s">
        <v>78</v>
      </c>
      <c r="I7" s="552" t="s">
        <v>114</v>
      </c>
      <c r="J7" s="551" t="s">
        <v>78</v>
      </c>
      <c r="K7" s="552" t="s">
        <v>114</v>
      </c>
    </row>
    <row r="8" spans="2:11" ht="15" customHeight="1" x14ac:dyDescent="0.25">
      <c r="B8" s="553" t="s">
        <v>86</v>
      </c>
      <c r="C8" s="184">
        <v>1810200</v>
      </c>
      <c r="D8" s="185">
        <v>28638907</v>
      </c>
      <c r="E8" s="186">
        <f>+D8/C8</f>
        <v>15.820852392000884</v>
      </c>
      <c r="F8" s="185">
        <v>2031555</v>
      </c>
      <c r="G8" s="186">
        <f>+F8/C8</f>
        <v>1.1222820682797481</v>
      </c>
      <c r="H8" s="187">
        <v>7756</v>
      </c>
      <c r="I8" s="188">
        <f>+H8/C8</f>
        <v>4.2846094354215001E-3</v>
      </c>
      <c r="J8" s="187">
        <f>+D8+F8+H8</f>
        <v>30678218</v>
      </c>
      <c r="K8" s="186">
        <f>+J8/C8</f>
        <v>16.947419069716055</v>
      </c>
    </row>
    <row r="9" spans="2:11" ht="15" customHeight="1" x14ac:dyDescent="0.25">
      <c r="B9" s="554" t="s">
        <v>87</v>
      </c>
      <c r="C9" s="189">
        <v>1379854</v>
      </c>
      <c r="D9" s="190">
        <v>24870024</v>
      </c>
      <c r="E9" s="191">
        <f>+D9/C9</f>
        <v>18.023663373081501</v>
      </c>
      <c r="F9" s="190">
        <v>1055733</v>
      </c>
      <c r="G9" s="186">
        <f>+F9/C9</f>
        <v>0.76510485891985669</v>
      </c>
      <c r="H9" s="192">
        <v>10679</v>
      </c>
      <c r="I9" s="188">
        <f>+H9/C9</f>
        <v>7.739224584629968E-3</v>
      </c>
      <c r="J9" s="187">
        <f>+D9+F9+H9</f>
        <v>25936436</v>
      </c>
      <c r="K9" s="191">
        <f>+J9/C9</f>
        <v>18.796507456585985</v>
      </c>
    </row>
    <row r="10" spans="2:11" ht="15" customHeight="1" x14ac:dyDescent="0.25">
      <c r="B10" s="554" t="s">
        <v>88</v>
      </c>
      <c r="C10" s="189">
        <v>1040566</v>
      </c>
      <c r="D10" s="190">
        <v>14025253</v>
      </c>
      <c r="E10" s="191">
        <f>+D10/C10</f>
        <v>13.478484786164453</v>
      </c>
      <c r="F10" s="190">
        <v>630668</v>
      </c>
      <c r="G10" s="186">
        <f>+F10/C10</f>
        <v>0.60608169015708757</v>
      </c>
      <c r="H10" s="192">
        <v>6045</v>
      </c>
      <c r="I10" s="188">
        <f>+H10/C10</f>
        <v>5.8093383793051089E-3</v>
      </c>
      <c r="J10" s="187">
        <f>+D10+F10+H10</f>
        <v>14661966</v>
      </c>
      <c r="K10" s="191">
        <f>+J10/C10</f>
        <v>14.090375814700845</v>
      </c>
    </row>
    <row r="11" spans="2:11" ht="15" customHeight="1" x14ac:dyDescent="0.25">
      <c r="B11" s="555" t="s">
        <v>115</v>
      </c>
      <c r="C11" s="194">
        <f>SUM(C8:C10)</f>
        <v>4230620</v>
      </c>
      <c r="D11" s="195">
        <f>SUM(D8:D10)</f>
        <v>67534184</v>
      </c>
      <c r="E11" s="196">
        <f>+D11/C11</f>
        <v>15.963188374280838</v>
      </c>
      <c r="F11" s="195">
        <f>SUM(F8:F10)</f>
        <v>3717956</v>
      </c>
      <c r="G11" s="213">
        <f>+F11/C11</f>
        <v>0.87882059839928894</v>
      </c>
      <c r="H11" s="195">
        <f>SUM(H8:H10)</f>
        <v>24480</v>
      </c>
      <c r="I11" s="214">
        <f>+H11/C11</f>
        <v>5.7863859197942622E-3</v>
      </c>
      <c r="J11" s="195">
        <f>SUM(J8:J10)</f>
        <v>71276620</v>
      </c>
      <c r="K11" s="196">
        <f>+J11/C11</f>
        <v>16.847795358599921</v>
      </c>
    </row>
    <row r="12" spans="2:11" ht="5.0999999999999996" customHeight="1" x14ac:dyDescent="0.25">
      <c r="B12" s="554"/>
      <c r="C12" s="189"/>
      <c r="D12" s="190"/>
      <c r="E12" s="198"/>
      <c r="F12" s="190"/>
      <c r="G12" s="198"/>
      <c r="H12" s="199"/>
      <c r="I12" s="198"/>
      <c r="J12" s="199"/>
      <c r="K12" s="191"/>
    </row>
    <row r="13" spans="2:11" ht="15" customHeight="1" x14ac:dyDescent="0.25">
      <c r="B13" s="554" t="s">
        <v>89</v>
      </c>
      <c r="C13" s="189">
        <v>1100555</v>
      </c>
      <c r="D13" s="190">
        <v>24032355</v>
      </c>
      <c r="E13" s="191">
        <f>+D13/C13</f>
        <v>21.836577908418935</v>
      </c>
      <c r="F13" s="190">
        <v>1129972</v>
      </c>
      <c r="G13" s="186">
        <f>+F13/C13</f>
        <v>1.0267292411555988</v>
      </c>
      <c r="H13" s="190">
        <v>10171</v>
      </c>
      <c r="I13" s="188">
        <f>+H13/C13</f>
        <v>9.2417007782437041E-3</v>
      </c>
      <c r="J13" s="187">
        <f>+D13+F13+H13</f>
        <v>25172498</v>
      </c>
      <c r="K13" s="191">
        <f>+J13/C13</f>
        <v>22.872548850352775</v>
      </c>
    </row>
    <row r="14" spans="2:11" ht="15" customHeight="1" x14ac:dyDescent="0.25">
      <c r="B14" s="554" t="s">
        <v>90</v>
      </c>
      <c r="C14" s="189">
        <v>1059549</v>
      </c>
      <c r="D14" s="190">
        <v>20609722</v>
      </c>
      <c r="E14" s="191">
        <f>+D14/C14</f>
        <v>19.45140998670189</v>
      </c>
      <c r="F14" s="190">
        <v>972556</v>
      </c>
      <c r="G14" s="186">
        <f>+F14/C14</f>
        <v>0.91789619923193733</v>
      </c>
      <c r="H14" s="190">
        <v>8902</v>
      </c>
      <c r="I14" s="188">
        <f>+H14/C14</f>
        <v>8.4016878879598772E-3</v>
      </c>
      <c r="J14" s="187">
        <f>+D14+F14+H14</f>
        <v>21591180</v>
      </c>
      <c r="K14" s="191">
        <f>+J14/C14</f>
        <v>20.377707873821787</v>
      </c>
    </row>
    <row r="15" spans="2:11" ht="15" customHeight="1" x14ac:dyDescent="0.25">
      <c r="B15" s="554" t="s">
        <v>91</v>
      </c>
      <c r="C15" s="189">
        <v>1753641</v>
      </c>
      <c r="D15" s="190">
        <v>32710839</v>
      </c>
      <c r="E15" s="191">
        <f>+D15/C15</f>
        <v>18.653098895383948</v>
      </c>
      <c r="F15" s="190">
        <v>977999</v>
      </c>
      <c r="G15" s="186">
        <f>+F15/C15</f>
        <v>0.55769624455632594</v>
      </c>
      <c r="H15" s="190">
        <v>13883</v>
      </c>
      <c r="I15" s="188">
        <f>+H15/C15</f>
        <v>7.9166716562854081E-3</v>
      </c>
      <c r="J15" s="187">
        <f>+D15+F15+H15</f>
        <v>33702721</v>
      </c>
      <c r="K15" s="191">
        <f>+J15/C15</f>
        <v>19.21871181159656</v>
      </c>
    </row>
    <row r="16" spans="2:11" ht="15" customHeight="1" x14ac:dyDescent="0.25">
      <c r="B16" s="555" t="s">
        <v>116</v>
      </c>
      <c r="C16" s="194">
        <f>SUM(C13:C15)</f>
        <v>3913745</v>
      </c>
      <c r="D16" s="195">
        <f>SUM(D13:D15)</f>
        <v>77352916</v>
      </c>
      <c r="E16" s="196">
        <f>+D16/C16</f>
        <v>19.764424100190482</v>
      </c>
      <c r="F16" s="195">
        <f>SUM(F13:F15)</f>
        <v>3080527</v>
      </c>
      <c r="G16" s="213">
        <f>+F16/C16</f>
        <v>0.78710467851124688</v>
      </c>
      <c r="H16" s="195">
        <f>SUM(H13:H15)</f>
        <v>32956</v>
      </c>
      <c r="I16" s="214">
        <f>+H16/C16</f>
        <v>8.4205792661504516E-3</v>
      </c>
      <c r="J16" s="195">
        <f>SUM(J13:J15)</f>
        <v>80466399</v>
      </c>
      <c r="K16" s="196">
        <f>+J16/C16</f>
        <v>20.559949357967881</v>
      </c>
    </row>
    <row r="17" spans="2:11" ht="5.0999999999999996" customHeight="1" x14ac:dyDescent="0.25">
      <c r="B17" s="554"/>
      <c r="C17" s="189"/>
      <c r="D17" s="190"/>
      <c r="E17" s="198"/>
      <c r="F17" s="190"/>
      <c r="G17" s="198"/>
      <c r="H17" s="199"/>
      <c r="I17" s="198"/>
      <c r="J17" s="199"/>
      <c r="K17" s="191"/>
    </row>
    <row r="18" spans="2:11" ht="15" customHeight="1" x14ac:dyDescent="0.25">
      <c r="B18" s="554" t="s">
        <v>93</v>
      </c>
      <c r="C18" s="189">
        <v>1449342</v>
      </c>
      <c r="D18" s="190">
        <v>28083585</v>
      </c>
      <c r="E18" s="191">
        <f>+D18/C18</f>
        <v>19.376782705531198</v>
      </c>
      <c r="F18" s="190">
        <v>1210783</v>
      </c>
      <c r="G18" s="186">
        <f>+F18/C18</f>
        <v>0.83540185822255897</v>
      </c>
      <c r="H18" s="190">
        <v>12024</v>
      </c>
      <c r="I18" s="188">
        <f>+H18/C18</f>
        <v>8.2961785417106516E-3</v>
      </c>
      <c r="J18" s="187">
        <f>+D18+F18+H18</f>
        <v>29306392</v>
      </c>
      <c r="K18" s="191">
        <f>+J18/C18</f>
        <v>20.220480742295468</v>
      </c>
    </row>
    <row r="19" spans="2:11" ht="15" customHeight="1" x14ac:dyDescent="0.25">
      <c r="B19" s="554" t="s">
        <v>94</v>
      </c>
      <c r="C19" s="189">
        <v>1455072</v>
      </c>
      <c r="D19" s="190">
        <v>28044883</v>
      </c>
      <c r="E19" s="191">
        <f>+D19/C19</f>
        <v>19.273879917969694</v>
      </c>
      <c r="F19" s="190">
        <v>1455604</v>
      </c>
      <c r="G19" s="186">
        <f>+F19/C19</f>
        <v>1.000365617646412</v>
      </c>
      <c r="H19" s="190">
        <v>11984</v>
      </c>
      <c r="I19" s="188">
        <f>+H19/C19</f>
        <v>8.2360185612808164E-3</v>
      </c>
      <c r="J19" s="187">
        <f>+D19+F19+H19</f>
        <v>29512471</v>
      </c>
      <c r="K19" s="191">
        <f>+J19/C19</f>
        <v>20.282481554177387</v>
      </c>
    </row>
    <row r="20" spans="2:11" ht="15" customHeight="1" x14ac:dyDescent="0.25">
      <c r="B20" s="554" t="s">
        <v>101</v>
      </c>
      <c r="C20" s="189">
        <v>1450434</v>
      </c>
      <c r="D20" s="190">
        <v>32274219</v>
      </c>
      <c r="E20" s="191">
        <f>+D20/C20</f>
        <v>22.251421988177331</v>
      </c>
      <c r="F20" s="190">
        <v>846937</v>
      </c>
      <c r="G20" s="186">
        <f>+F20/C20</f>
        <v>0.58391970954900396</v>
      </c>
      <c r="H20" s="190">
        <v>13662</v>
      </c>
      <c r="I20" s="188">
        <f>+H20/C20</f>
        <v>9.4192496866455141E-3</v>
      </c>
      <c r="J20" s="187">
        <f>+D20+F20+H20</f>
        <v>33134818</v>
      </c>
      <c r="K20" s="191">
        <f>+J20/C20</f>
        <v>22.844760947412983</v>
      </c>
    </row>
    <row r="21" spans="2:11" ht="15" customHeight="1" x14ac:dyDescent="0.25">
      <c r="B21" s="555" t="s">
        <v>117</v>
      </c>
      <c r="C21" s="194">
        <f>SUM(C18:C20)</f>
        <v>4354848</v>
      </c>
      <c r="D21" s="195">
        <f>SUM(D18:D20)</f>
        <v>88402687</v>
      </c>
      <c r="E21" s="196">
        <f>+D21/C21</f>
        <v>20.299832967763741</v>
      </c>
      <c r="F21" s="195">
        <f>SUM(F18:F20)</f>
        <v>3513324</v>
      </c>
      <c r="G21" s="186">
        <f>+F21/C21</f>
        <v>0.80676156779754427</v>
      </c>
      <c r="H21" s="195">
        <f>SUM(H18:H20)</f>
        <v>37670</v>
      </c>
      <c r="I21" s="214">
        <f>+H21/C21</f>
        <v>8.6501296945381331E-3</v>
      </c>
      <c r="J21" s="195">
        <f>SUM(J18:J20)</f>
        <v>91953681</v>
      </c>
      <c r="K21" s="196">
        <f>+J21/C21</f>
        <v>21.115244665255826</v>
      </c>
    </row>
    <row r="22" spans="2:11" ht="5.0999999999999996" customHeight="1" x14ac:dyDescent="0.25">
      <c r="B22" s="554"/>
      <c r="C22" s="189"/>
      <c r="D22" s="190"/>
      <c r="E22" s="198"/>
      <c r="F22" s="190"/>
      <c r="G22" s="198"/>
      <c r="H22" s="199"/>
      <c r="I22" s="198"/>
      <c r="J22" s="199"/>
      <c r="K22" s="191"/>
    </row>
    <row r="23" spans="2:11" ht="15" customHeight="1" x14ac:dyDescent="0.25">
      <c r="B23" s="554" t="s">
        <v>95</v>
      </c>
      <c r="C23" s="189">
        <v>1074071</v>
      </c>
      <c r="D23" s="190">
        <v>24434802</v>
      </c>
      <c r="E23" s="191">
        <f>+D23/C23</f>
        <v>22.74970835261356</v>
      </c>
      <c r="F23" s="190">
        <v>836646</v>
      </c>
      <c r="G23" s="186">
        <f>+F23/C23</f>
        <v>0.77894850526641157</v>
      </c>
      <c r="H23" s="190">
        <v>10424</v>
      </c>
      <c r="I23" s="188">
        <f>+H23/C23</f>
        <v>9.705131225030748E-3</v>
      </c>
      <c r="J23" s="187">
        <f>+D23+F23+H23</f>
        <v>25281872</v>
      </c>
      <c r="K23" s="191">
        <f>+J23/C23</f>
        <v>23.538361989105002</v>
      </c>
    </row>
    <row r="24" spans="2:11" ht="15" customHeight="1" x14ac:dyDescent="0.25">
      <c r="B24" s="554" t="s">
        <v>96</v>
      </c>
      <c r="C24" s="189">
        <v>0</v>
      </c>
      <c r="D24" s="190">
        <v>0</v>
      </c>
      <c r="E24" s="191">
        <v>0</v>
      </c>
      <c r="F24" s="190">
        <v>0</v>
      </c>
      <c r="G24" s="186">
        <v>0</v>
      </c>
      <c r="H24" s="190">
        <v>0</v>
      </c>
      <c r="I24" s="188">
        <v>0</v>
      </c>
      <c r="J24" s="187">
        <f>+D24+F24+H24</f>
        <v>0</v>
      </c>
      <c r="K24" s="191">
        <v>0</v>
      </c>
    </row>
    <row r="25" spans="2:11" ht="15" customHeight="1" x14ac:dyDescent="0.25">
      <c r="B25" s="554" t="s">
        <v>97</v>
      </c>
      <c r="C25" s="189">
        <v>1114661</v>
      </c>
      <c r="D25" s="190">
        <v>26267841</v>
      </c>
      <c r="E25" s="191">
        <f>+D25/C25</f>
        <v>23.565766632186826</v>
      </c>
      <c r="F25" s="190">
        <v>661946</v>
      </c>
      <c r="G25" s="186">
        <f>+F25/C25</f>
        <v>0.59385409555012691</v>
      </c>
      <c r="H25" s="190">
        <v>11108</v>
      </c>
      <c r="I25" s="188">
        <f>+H25/C25</f>
        <v>9.9653616660132539E-3</v>
      </c>
      <c r="J25" s="187">
        <f>+D25+F25+H25</f>
        <v>26940895</v>
      </c>
      <c r="K25" s="191">
        <f>+J25/C25</f>
        <v>24.169586089402966</v>
      </c>
    </row>
    <row r="26" spans="2:11" ht="15" customHeight="1" thickBot="1" x14ac:dyDescent="0.3">
      <c r="B26" s="556" t="s">
        <v>118</v>
      </c>
      <c r="C26" s="200">
        <f>SUM(C23:C25)</f>
        <v>2188732</v>
      </c>
      <c r="D26" s="200">
        <f>SUM(D23:D25)</f>
        <v>50702643</v>
      </c>
      <c r="E26" s="202">
        <f>+D26/C26</f>
        <v>23.165304386283932</v>
      </c>
      <c r="F26" s="201">
        <f>SUM(F23:F25)</f>
        <v>1498592</v>
      </c>
      <c r="G26" s="213">
        <f>+F26/C26</f>
        <v>0.68468501397155979</v>
      </c>
      <c r="H26" s="201">
        <f>SUM(H23:H25)</f>
        <v>21532</v>
      </c>
      <c r="I26" s="214">
        <f>+H26/C26</f>
        <v>9.837659430208907E-3</v>
      </c>
      <c r="J26" s="201">
        <f>SUM(J23:J25)</f>
        <v>52222767</v>
      </c>
      <c r="K26" s="202">
        <f>+J26/C26</f>
        <v>23.859827059685699</v>
      </c>
    </row>
    <row r="27" spans="2:11" ht="24.9" customHeight="1" thickBot="1" x14ac:dyDescent="0.3">
      <c r="B27" s="557" t="s">
        <v>119</v>
      </c>
      <c r="C27" s="204">
        <f>+C11+C16+C21+C26</f>
        <v>14687945</v>
      </c>
      <c r="D27" s="205">
        <f>+D11+D16+D21+D26</f>
        <v>283992430</v>
      </c>
      <c r="E27" s="206">
        <f>+D27/C27</f>
        <v>19.335068997058471</v>
      </c>
      <c r="F27" s="205">
        <f>+F11+F16+F21+F26</f>
        <v>11810399</v>
      </c>
      <c r="G27" s="208">
        <f>+F27/C27</f>
        <v>0.8040879101875722</v>
      </c>
      <c r="H27" s="205">
        <f>+H11+H16+H21+H26</f>
        <v>116638</v>
      </c>
      <c r="I27" s="209">
        <f>+H27/C27</f>
        <v>7.94107004077153E-3</v>
      </c>
      <c r="J27" s="205">
        <f>+J11+J16+J21+J26</f>
        <v>295919467</v>
      </c>
      <c r="K27" s="208">
        <f>+J27/C27</f>
        <v>20.147097977286816</v>
      </c>
    </row>
    <row r="28" spans="2:11" ht="15" customHeight="1" thickBot="1" x14ac:dyDescent="0.3"/>
    <row r="29" spans="2:11" ht="24.9" customHeight="1" thickBot="1" x14ac:dyDescent="0.3">
      <c r="B29" s="919" t="s">
        <v>160</v>
      </c>
      <c r="C29" s="920"/>
      <c r="D29" s="920"/>
      <c r="E29" s="920"/>
      <c r="F29" s="920"/>
      <c r="G29" s="920"/>
      <c r="H29" s="920"/>
      <c r="I29" s="920"/>
      <c r="J29" s="920"/>
      <c r="K29" s="921"/>
    </row>
    <row r="30" spans="2:11" ht="15" customHeight="1" x14ac:dyDescent="0.25">
      <c r="B30" s="922" t="s">
        <v>100</v>
      </c>
      <c r="C30" s="924" t="s">
        <v>25</v>
      </c>
      <c r="D30" s="916" t="s">
        <v>110</v>
      </c>
      <c r="E30" s="917"/>
      <c r="F30" s="918" t="s">
        <v>111</v>
      </c>
      <c r="G30" s="918"/>
      <c r="H30" s="916" t="s">
        <v>112</v>
      </c>
      <c r="I30" s="917"/>
      <c r="J30" s="916" t="s">
        <v>113</v>
      </c>
      <c r="K30" s="917"/>
    </row>
    <row r="31" spans="2:11" ht="15" customHeight="1" thickBot="1" x14ac:dyDescent="0.3">
      <c r="B31" s="923"/>
      <c r="C31" s="925"/>
      <c r="D31" s="551" t="s">
        <v>78</v>
      </c>
      <c r="E31" s="552" t="s">
        <v>114</v>
      </c>
      <c r="F31" s="551" t="s">
        <v>78</v>
      </c>
      <c r="G31" s="552" t="s">
        <v>114</v>
      </c>
      <c r="H31" s="551" t="s">
        <v>78</v>
      </c>
      <c r="I31" s="552" t="s">
        <v>114</v>
      </c>
      <c r="J31" s="551" t="s">
        <v>78</v>
      </c>
      <c r="K31" s="552" t="s">
        <v>114</v>
      </c>
    </row>
    <row r="32" spans="2:11" ht="15" customHeight="1" x14ac:dyDescent="0.25">
      <c r="B32" s="553" t="s">
        <v>86</v>
      </c>
      <c r="C32" s="184">
        <v>1628990</v>
      </c>
      <c r="D32" s="185">
        <v>36816641</v>
      </c>
      <c r="E32" s="186">
        <f>+D32/C32</f>
        <v>22.600900558014477</v>
      </c>
      <c r="F32" s="185">
        <v>1511772</v>
      </c>
      <c r="G32" s="186">
        <f>+F32/C32</f>
        <v>0.92804252942007015</v>
      </c>
      <c r="H32" s="187">
        <v>15724</v>
      </c>
      <c r="I32" s="188">
        <f>+H32/C32</f>
        <v>9.6526068299989561E-3</v>
      </c>
      <c r="J32" s="187">
        <f>+D32+F32+H32</f>
        <v>38344137</v>
      </c>
      <c r="K32" s="186">
        <f>+J32/C32</f>
        <v>23.538595694264544</v>
      </c>
    </row>
    <row r="33" spans="2:11" ht="15" customHeight="1" x14ac:dyDescent="0.25">
      <c r="B33" s="554" t="s">
        <v>87</v>
      </c>
      <c r="C33" s="189">
        <v>925900</v>
      </c>
      <c r="D33" s="190">
        <v>18067186</v>
      </c>
      <c r="E33" s="191">
        <f>+D33/C33</f>
        <v>19.513107247002917</v>
      </c>
      <c r="F33" s="190">
        <v>1115400</v>
      </c>
      <c r="G33" s="186">
        <f>+F33/C33</f>
        <v>1.204665730640458</v>
      </c>
      <c r="H33" s="192">
        <v>5759</v>
      </c>
      <c r="I33" s="188">
        <f>+H33/C33</f>
        <v>6.219894157036397E-3</v>
      </c>
      <c r="J33" s="187">
        <f>+D33+F33+H33</f>
        <v>19188345</v>
      </c>
      <c r="K33" s="191">
        <f>+J33/C33</f>
        <v>20.723992871800409</v>
      </c>
    </row>
    <row r="34" spans="2:11" ht="15" customHeight="1" x14ac:dyDescent="0.25">
      <c r="B34" s="554" t="s">
        <v>88</v>
      </c>
      <c r="C34" s="189">
        <v>1360968</v>
      </c>
      <c r="D34" s="190">
        <v>23604999</v>
      </c>
      <c r="E34" s="191">
        <f>+D34/C34</f>
        <v>17.344271871197559</v>
      </c>
      <c r="F34" s="190">
        <v>1422168</v>
      </c>
      <c r="G34" s="186">
        <f>+F34/C34</f>
        <v>1.0449679933694254</v>
      </c>
      <c r="H34" s="192">
        <v>7513</v>
      </c>
      <c r="I34" s="188">
        <f>+H34/C34</f>
        <v>5.5203355258903958E-3</v>
      </c>
      <c r="J34" s="187">
        <f>+D34+F34+H34</f>
        <v>25034680</v>
      </c>
      <c r="K34" s="191">
        <f>+J34/C34</f>
        <v>18.394760200092875</v>
      </c>
    </row>
    <row r="35" spans="2:11" ht="15" customHeight="1" x14ac:dyDescent="0.25">
      <c r="B35" s="555" t="s">
        <v>115</v>
      </c>
      <c r="C35" s="194">
        <f>SUM(C32:C34)</f>
        <v>3915858</v>
      </c>
      <c r="D35" s="195">
        <f>SUM(D32:D34)</f>
        <v>78488826</v>
      </c>
      <c r="E35" s="196">
        <f>+D35/C35</f>
        <v>20.043838668307174</v>
      </c>
      <c r="F35" s="195">
        <f>SUM(F32:F34)</f>
        <v>4049340</v>
      </c>
      <c r="G35" s="213">
        <f>+F35/C35</f>
        <v>1.0340875486291894</v>
      </c>
      <c r="H35" s="195">
        <f>SUM(H32:H34)</f>
        <v>28996</v>
      </c>
      <c r="I35" s="214">
        <f>+H35/C35</f>
        <v>7.4047628897677088E-3</v>
      </c>
      <c r="J35" s="195">
        <f>SUM(J32:J34)</f>
        <v>82567162</v>
      </c>
      <c r="K35" s="196">
        <f>+J35/C35</f>
        <v>21.085330979826132</v>
      </c>
    </row>
    <row r="36" spans="2:11" ht="5.0999999999999996" customHeight="1" x14ac:dyDescent="0.25">
      <c r="B36" s="554"/>
      <c r="C36" s="189"/>
      <c r="D36" s="190"/>
      <c r="E36" s="198"/>
      <c r="F36" s="190"/>
      <c r="G36" s="198"/>
      <c r="H36" s="199"/>
      <c r="I36" s="198"/>
      <c r="J36" s="199"/>
      <c r="K36" s="191"/>
    </row>
    <row r="37" spans="2:11" ht="15" customHeight="1" x14ac:dyDescent="0.25">
      <c r="B37" s="554" t="s">
        <v>89</v>
      </c>
      <c r="C37" s="189">
        <v>1075198</v>
      </c>
      <c r="D37" s="190">
        <v>17123198</v>
      </c>
      <c r="E37" s="191">
        <f>+D37/C37</f>
        <v>15.92562300153088</v>
      </c>
      <c r="F37" s="190">
        <v>1185134</v>
      </c>
      <c r="G37" s="186">
        <f>+F37/C37</f>
        <v>1.102247214001514</v>
      </c>
      <c r="H37" s="190">
        <v>5496</v>
      </c>
      <c r="I37" s="188">
        <f>+H37/C37</f>
        <v>5.1116166510726396E-3</v>
      </c>
      <c r="J37" s="187">
        <f>+D37+F37+H37</f>
        <v>18313828</v>
      </c>
      <c r="K37" s="191">
        <f>+J37/C37</f>
        <v>17.032981832183467</v>
      </c>
    </row>
    <row r="38" spans="2:11" ht="15" customHeight="1" x14ac:dyDescent="0.25">
      <c r="B38" s="554" t="s">
        <v>90</v>
      </c>
      <c r="C38" s="189">
        <v>1420115</v>
      </c>
      <c r="D38" s="190">
        <v>22405327</v>
      </c>
      <c r="E38" s="191">
        <f>+D38/C38</f>
        <v>15.777121571140365</v>
      </c>
      <c r="F38" s="190">
        <v>1517874</v>
      </c>
      <c r="G38" s="186">
        <f>+F38/C38</f>
        <v>1.0688387912246544</v>
      </c>
      <c r="H38" s="190">
        <v>7181</v>
      </c>
      <c r="I38" s="188">
        <f>+H38/C38</f>
        <v>5.0566327374895696E-3</v>
      </c>
      <c r="J38" s="187">
        <f>+D38+F38+H38</f>
        <v>23930382</v>
      </c>
      <c r="K38" s="191">
        <f>+J38/C38</f>
        <v>16.851016995102508</v>
      </c>
    </row>
    <row r="39" spans="2:11" ht="15" customHeight="1" x14ac:dyDescent="0.25">
      <c r="B39" s="554" t="s">
        <v>91</v>
      </c>
      <c r="C39" s="189">
        <v>843763</v>
      </c>
      <c r="D39" s="190">
        <v>11359509</v>
      </c>
      <c r="E39" s="191">
        <f>+D39/C39</f>
        <v>13.462914349171509</v>
      </c>
      <c r="F39" s="190">
        <v>1051987</v>
      </c>
      <c r="G39" s="186">
        <f>+F39/C39</f>
        <v>1.246780197756953</v>
      </c>
      <c r="H39" s="190">
        <v>3726</v>
      </c>
      <c r="I39" s="188">
        <f>+H39/C39</f>
        <v>4.4159319619371789E-3</v>
      </c>
      <c r="J39" s="187">
        <f>+D39+F39+H39</f>
        <v>12415222</v>
      </c>
      <c r="K39" s="191">
        <f>+J39/C39</f>
        <v>14.714110478890399</v>
      </c>
    </row>
    <row r="40" spans="2:11" ht="15" customHeight="1" x14ac:dyDescent="0.25">
      <c r="B40" s="555" t="s">
        <v>116</v>
      </c>
      <c r="C40" s="194">
        <f>SUM(C37:C39)</f>
        <v>3339076</v>
      </c>
      <c r="D40" s="195">
        <f>SUM(D37:D39)</f>
        <v>50888034</v>
      </c>
      <c r="E40" s="196">
        <f>+D40/C40</f>
        <v>15.24015446189305</v>
      </c>
      <c r="F40" s="195">
        <f>SUM(F37:F39)</f>
        <v>3754995</v>
      </c>
      <c r="G40" s="213">
        <f>+F40/C40</f>
        <v>1.1245611061263654</v>
      </c>
      <c r="H40" s="195">
        <f>SUM(H37:H39)</f>
        <v>16403</v>
      </c>
      <c r="I40" s="214">
        <f>+H40/C40</f>
        <v>4.9124368537882936E-3</v>
      </c>
      <c r="J40" s="195">
        <f>SUM(J37:J39)</f>
        <v>54659432</v>
      </c>
      <c r="K40" s="196">
        <f>+J40/C40</f>
        <v>16.369628004873203</v>
      </c>
    </row>
    <row r="41" spans="2:11" ht="5.0999999999999996" customHeight="1" x14ac:dyDescent="0.25">
      <c r="B41" s="554"/>
      <c r="C41" s="189"/>
      <c r="D41" s="190"/>
      <c r="E41" s="198"/>
      <c r="F41" s="190"/>
      <c r="G41" s="198"/>
      <c r="H41" s="199"/>
      <c r="I41" s="198"/>
      <c r="J41" s="199"/>
      <c r="K41" s="191"/>
    </row>
    <row r="42" spans="2:11" ht="15" customHeight="1" x14ac:dyDescent="0.25">
      <c r="B42" s="554" t="s">
        <v>93</v>
      </c>
      <c r="C42" s="189">
        <v>1097320</v>
      </c>
      <c r="D42" s="190">
        <v>16109127</v>
      </c>
      <c r="E42" s="191">
        <f>+D42/C42</f>
        <v>14.68042776947472</v>
      </c>
      <c r="F42" s="190">
        <v>1040688</v>
      </c>
      <c r="G42" s="186">
        <f>+F42/C42</f>
        <v>0.94839062443043054</v>
      </c>
      <c r="H42" s="190">
        <v>5148</v>
      </c>
      <c r="I42" s="188">
        <f>+H42/C42</f>
        <v>4.6914300295264827E-3</v>
      </c>
      <c r="J42" s="187">
        <f>+D42+F42+H42</f>
        <v>17154963</v>
      </c>
      <c r="K42" s="191">
        <f>+J42/C42</f>
        <v>15.633509823934677</v>
      </c>
    </row>
    <row r="43" spans="2:11" ht="15" customHeight="1" x14ac:dyDescent="0.25">
      <c r="B43" s="554" t="s">
        <v>94</v>
      </c>
      <c r="C43" s="189">
        <v>1190212</v>
      </c>
      <c r="D43" s="190">
        <v>17924570</v>
      </c>
      <c r="E43" s="191">
        <f>+D43/C43</f>
        <v>15.059980910963761</v>
      </c>
      <c r="F43" s="190">
        <v>1302167</v>
      </c>
      <c r="G43" s="186">
        <f>+F43/C43</f>
        <v>1.094063074477488</v>
      </c>
      <c r="H43" s="190">
        <v>5772</v>
      </c>
      <c r="I43" s="188">
        <f>+H43/C43</f>
        <v>4.8495562135149033E-3</v>
      </c>
      <c r="J43" s="187">
        <f>+D43+F43+H43</f>
        <v>19232509</v>
      </c>
      <c r="K43" s="191">
        <f>+J43/C43</f>
        <v>16.158893541654763</v>
      </c>
    </row>
    <row r="44" spans="2:11" ht="15" customHeight="1" x14ac:dyDescent="0.25">
      <c r="B44" s="554" t="s">
        <v>101</v>
      </c>
      <c r="C44" s="189">
        <v>1494897</v>
      </c>
      <c r="D44" s="190">
        <v>23470097</v>
      </c>
      <c r="E44" s="191">
        <f>+D44/C44</f>
        <v>15.700143220569711</v>
      </c>
      <c r="F44" s="190">
        <v>1197032</v>
      </c>
      <c r="G44" s="186">
        <f>+F44/C44</f>
        <v>0.80074546942030123</v>
      </c>
      <c r="H44" s="190">
        <v>7644</v>
      </c>
      <c r="I44" s="188">
        <f>+H44/C44</f>
        <v>5.1133957724177649E-3</v>
      </c>
      <c r="J44" s="187">
        <f>+D44+F44+H44</f>
        <v>24674773</v>
      </c>
      <c r="K44" s="191">
        <f>+J44/C44</f>
        <v>16.506002085762429</v>
      </c>
    </row>
    <row r="45" spans="2:11" ht="15" customHeight="1" x14ac:dyDescent="0.25">
      <c r="B45" s="555" t="s">
        <v>117</v>
      </c>
      <c r="C45" s="194">
        <f>SUM(C42:C44)</f>
        <v>3782429</v>
      </c>
      <c r="D45" s="195">
        <f>SUM(D42:D44)</f>
        <v>57503794</v>
      </c>
      <c r="E45" s="196">
        <f>+D45/C45</f>
        <v>15.202874660700836</v>
      </c>
      <c r="F45" s="195">
        <f>SUM(F42:F44)</f>
        <v>3539887</v>
      </c>
      <c r="G45" s="186">
        <f>+F45/C45</f>
        <v>0.93587665492200911</v>
      </c>
      <c r="H45" s="195">
        <f>SUM(H42:H44)</f>
        <v>18564</v>
      </c>
      <c r="I45" s="214">
        <f>+H45/C45</f>
        <v>4.9079572941091556E-3</v>
      </c>
      <c r="J45" s="195">
        <f>SUM(J42:J44)</f>
        <v>61062245</v>
      </c>
      <c r="K45" s="196">
        <f>+J45/C45</f>
        <v>16.143659272916953</v>
      </c>
    </row>
    <row r="46" spans="2:11" ht="5.0999999999999996" customHeight="1" x14ac:dyDescent="0.25">
      <c r="B46" s="554"/>
      <c r="C46" s="189"/>
      <c r="D46" s="190"/>
      <c r="E46" s="198"/>
      <c r="F46" s="190"/>
      <c r="G46" s="198"/>
      <c r="H46" s="199"/>
      <c r="I46" s="198"/>
      <c r="J46" s="199"/>
      <c r="K46" s="191"/>
    </row>
    <row r="47" spans="2:11" ht="15" customHeight="1" x14ac:dyDescent="0.25">
      <c r="B47" s="554" t="s">
        <v>95</v>
      </c>
      <c r="C47" s="189">
        <v>1595213</v>
      </c>
      <c r="D47" s="190">
        <v>27461839</v>
      </c>
      <c r="E47" s="191">
        <f>+D47/C47</f>
        <v>17.215154966766193</v>
      </c>
      <c r="F47" s="190">
        <v>1398872</v>
      </c>
      <c r="G47" s="186">
        <f>+F47/C47</f>
        <v>0.87691863092891043</v>
      </c>
      <c r="H47" s="190">
        <v>11197</v>
      </c>
      <c r="I47" s="188">
        <f>+H47/C47</f>
        <v>7.0191253456434975E-3</v>
      </c>
      <c r="J47" s="187">
        <f>+D47+F47+H47</f>
        <v>28871908</v>
      </c>
      <c r="K47" s="191">
        <f>+J47/C47</f>
        <v>18.099092723040748</v>
      </c>
    </row>
    <row r="48" spans="2:11" ht="15" customHeight="1" x14ac:dyDescent="0.25">
      <c r="B48" s="554" t="s">
        <v>96</v>
      </c>
      <c r="C48" s="189">
        <v>749392</v>
      </c>
      <c r="D48" s="190">
        <v>11668004</v>
      </c>
      <c r="E48" s="191">
        <f>+D48/C48</f>
        <v>15.56996071481948</v>
      </c>
      <c r="F48" s="190">
        <v>826196</v>
      </c>
      <c r="G48" s="186">
        <f>+F48/C48</f>
        <v>1.1024884172769391</v>
      </c>
      <c r="H48" s="190">
        <v>4848</v>
      </c>
      <c r="I48" s="188">
        <v>0</v>
      </c>
      <c r="J48" s="187">
        <f>+D48+F48+H48</f>
        <v>12499048</v>
      </c>
      <c r="K48" s="191">
        <v>0</v>
      </c>
    </row>
    <row r="49" spans="2:11" ht="15" customHeight="1" x14ac:dyDescent="0.25">
      <c r="B49" s="554" t="s">
        <v>97</v>
      </c>
      <c r="C49" s="189">
        <v>1443834</v>
      </c>
      <c r="D49" s="190">
        <v>21072181</v>
      </c>
      <c r="E49" s="191">
        <f>+D49/C49</f>
        <v>14.594600902873877</v>
      </c>
      <c r="F49" s="190">
        <v>1440113</v>
      </c>
      <c r="G49" s="186">
        <f>+F49/C49</f>
        <v>0.99742283392689191</v>
      </c>
      <c r="H49" s="190">
        <v>8734</v>
      </c>
      <c r="I49" s="188">
        <f>+H49/C49</f>
        <v>6.0491718577066339E-3</v>
      </c>
      <c r="J49" s="187">
        <f>+D49+F49+H49</f>
        <v>22521028</v>
      </c>
      <c r="K49" s="191">
        <f>+J49/C49</f>
        <v>15.598072908658475</v>
      </c>
    </row>
    <row r="50" spans="2:11" ht="15" customHeight="1" thickBot="1" x14ac:dyDescent="0.3">
      <c r="B50" s="556" t="s">
        <v>118</v>
      </c>
      <c r="C50" s="200">
        <f>SUM(C47:C49)</f>
        <v>3788439</v>
      </c>
      <c r="D50" s="200">
        <f>SUM(D47:D49)</f>
        <v>60202024</v>
      </c>
      <c r="E50" s="202">
        <f>+D50/C50</f>
        <v>15.890984123012142</v>
      </c>
      <c r="F50" s="201">
        <f>SUM(F47:F49)</f>
        <v>3665181</v>
      </c>
      <c r="G50" s="213">
        <f>+F50/C50</f>
        <v>0.96746469984075234</v>
      </c>
      <c r="H50" s="201">
        <f>SUM(H47:H49)</f>
        <v>24779</v>
      </c>
      <c r="I50" s="214">
        <f>+H50/C50</f>
        <v>6.5406886583101904E-3</v>
      </c>
      <c r="J50" s="201">
        <f>SUM(J47:J49)</f>
        <v>63891984</v>
      </c>
      <c r="K50" s="202">
        <f>+J50/C50</f>
        <v>16.864989511511205</v>
      </c>
    </row>
    <row r="51" spans="2:11" ht="24.9" customHeight="1" thickBot="1" x14ac:dyDescent="0.3">
      <c r="B51" s="557" t="s">
        <v>119</v>
      </c>
      <c r="C51" s="204">
        <f>+C35+C40+C45+C50</f>
        <v>14825802</v>
      </c>
      <c r="D51" s="205">
        <f>+D35+D40+D45+D50</f>
        <v>247082678</v>
      </c>
      <c r="E51" s="206">
        <f>+D51/C51</f>
        <v>16.665720883092867</v>
      </c>
      <c r="F51" s="205">
        <f>+F35+F40+F45+F50</f>
        <v>15009403</v>
      </c>
      <c r="G51" s="208">
        <f>+F51/C51</f>
        <v>1.0123838831787988</v>
      </c>
      <c r="H51" s="205">
        <f>+H35+H40+H45+H50</f>
        <v>88742</v>
      </c>
      <c r="I51" s="209">
        <f>+H51/C51</f>
        <v>5.9856458355507514E-3</v>
      </c>
      <c r="J51" s="205">
        <f>+J35+J40+J45+J50</f>
        <v>262180823</v>
      </c>
      <c r="K51" s="208">
        <f>+J51/C51</f>
        <v>17.684090412107217</v>
      </c>
    </row>
    <row r="52" spans="2:11" ht="15" customHeight="1" thickBot="1" x14ac:dyDescent="0.3"/>
    <row r="53" spans="2:11" ht="24.9" customHeight="1" thickBot="1" x14ac:dyDescent="0.3">
      <c r="B53" s="919" t="s">
        <v>161</v>
      </c>
      <c r="C53" s="920"/>
      <c r="D53" s="920"/>
      <c r="E53" s="920"/>
      <c r="F53" s="920"/>
      <c r="G53" s="920"/>
      <c r="H53" s="920"/>
      <c r="I53" s="920"/>
      <c r="J53" s="920"/>
      <c r="K53" s="921"/>
    </row>
    <row r="54" spans="2:11" ht="15" customHeight="1" x14ac:dyDescent="0.25">
      <c r="B54" s="922" t="s">
        <v>100</v>
      </c>
      <c r="C54" s="924" t="s">
        <v>25</v>
      </c>
      <c r="D54" s="916" t="s">
        <v>110</v>
      </c>
      <c r="E54" s="917"/>
      <c r="F54" s="918" t="s">
        <v>111</v>
      </c>
      <c r="G54" s="918"/>
      <c r="H54" s="916" t="s">
        <v>112</v>
      </c>
      <c r="I54" s="917"/>
      <c r="J54" s="916" t="s">
        <v>113</v>
      </c>
      <c r="K54" s="917"/>
    </row>
    <row r="55" spans="2:11" ht="15" customHeight="1" thickBot="1" x14ac:dyDescent="0.3">
      <c r="B55" s="923"/>
      <c r="C55" s="925"/>
      <c r="D55" s="551" t="s">
        <v>78</v>
      </c>
      <c r="E55" s="552" t="s">
        <v>114</v>
      </c>
      <c r="F55" s="551" t="s">
        <v>78</v>
      </c>
      <c r="G55" s="552" t="s">
        <v>114</v>
      </c>
      <c r="H55" s="551" t="s">
        <v>78</v>
      </c>
      <c r="I55" s="552" t="s">
        <v>114</v>
      </c>
      <c r="J55" s="551" t="s">
        <v>78</v>
      </c>
      <c r="K55" s="552" t="s">
        <v>114</v>
      </c>
    </row>
    <row r="56" spans="2:11" ht="15" customHeight="1" x14ac:dyDescent="0.25">
      <c r="B56" s="553" t="s">
        <v>86</v>
      </c>
      <c r="C56" s="184">
        <v>682243</v>
      </c>
      <c r="D56" s="185">
        <v>8572192</v>
      </c>
      <c r="E56" s="186">
        <f>+D56/C56</f>
        <v>12.564719608702472</v>
      </c>
      <c r="F56" s="185">
        <v>642864</v>
      </c>
      <c r="G56" s="186">
        <f>+F56/C56</f>
        <v>0.94228009668109458</v>
      </c>
      <c r="H56" s="187">
        <v>3575</v>
      </c>
      <c r="I56" s="188">
        <f>+H56/C56</f>
        <v>5.2400684213689255E-3</v>
      </c>
      <c r="J56" s="187">
        <f>+D56+F56+H56</f>
        <v>9218631</v>
      </c>
      <c r="K56" s="186">
        <f>+J56/C56</f>
        <v>13.512239773804934</v>
      </c>
    </row>
    <row r="57" spans="2:11" ht="15" customHeight="1" x14ac:dyDescent="0.25">
      <c r="B57" s="554" t="s">
        <v>87</v>
      </c>
      <c r="C57" s="189">
        <v>1252404</v>
      </c>
      <c r="D57" s="190">
        <v>15418529</v>
      </c>
      <c r="E57" s="191">
        <f>+D57/C57</f>
        <v>12.311146403237293</v>
      </c>
      <c r="F57" s="190">
        <v>1101058</v>
      </c>
      <c r="G57" s="186">
        <f>+F57/C57</f>
        <v>0.87915560793481973</v>
      </c>
      <c r="H57" s="192">
        <v>6410</v>
      </c>
      <c r="I57" s="188">
        <f>+H57/C57</f>
        <v>5.1181567609174033E-3</v>
      </c>
      <c r="J57" s="187">
        <f>+D57+F57+H57</f>
        <v>16525997</v>
      </c>
      <c r="K57" s="191">
        <f>+J57/C57</f>
        <v>13.195420167933031</v>
      </c>
    </row>
    <row r="58" spans="2:11" ht="15" customHeight="1" x14ac:dyDescent="0.25">
      <c r="B58" s="554" t="s">
        <v>88</v>
      </c>
      <c r="C58" s="189">
        <v>1462259</v>
      </c>
      <c r="D58" s="190">
        <v>14640080</v>
      </c>
      <c r="E58" s="191">
        <f>+D58/C58</f>
        <v>10.011960945359201</v>
      </c>
      <c r="F58" s="190">
        <v>1603804</v>
      </c>
      <c r="G58" s="186">
        <f>+F58/C58</f>
        <v>1.0967988571108127</v>
      </c>
      <c r="H58" s="192">
        <v>6303</v>
      </c>
      <c r="I58" s="188">
        <f>+H58/C58</f>
        <v>4.3104538935988769E-3</v>
      </c>
      <c r="J58" s="187">
        <f>+D58+F58+H58</f>
        <v>16250187</v>
      </c>
      <c r="K58" s="191">
        <f>+J58/C58</f>
        <v>11.113070256363613</v>
      </c>
    </row>
    <row r="59" spans="2:11" ht="15" customHeight="1" x14ac:dyDescent="0.25">
      <c r="B59" s="555" t="s">
        <v>115</v>
      </c>
      <c r="C59" s="194">
        <f>SUM(C56:C58)</f>
        <v>3396906</v>
      </c>
      <c r="D59" s="195">
        <f>SUM(D56:D58)</f>
        <v>38630801</v>
      </c>
      <c r="E59" s="196">
        <f>+D59/C59</f>
        <v>11.37234913182761</v>
      </c>
      <c r="F59" s="195">
        <f>SUM(F56:F58)</f>
        <v>3347726</v>
      </c>
      <c r="G59" s="213">
        <f>+F59/C59</f>
        <v>0.98552211924616107</v>
      </c>
      <c r="H59" s="195">
        <f>SUM(H56:H58)</f>
        <v>16288</v>
      </c>
      <c r="I59" s="214">
        <f>+H59/C59</f>
        <v>4.7949516412876892E-3</v>
      </c>
      <c r="J59" s="195">
        <f>SUM(J56:J58)</f>
        <v>41994815</v>
      </c>
      <c r="K59" s="196">
        <f>+J59/C59</f>
        <v>12.36266620271506</v>
      </c>
    </row>
    <row r="60" spans="2:11" ht="5.0999999999999996" customHeight="1" x14ac:dyDescent="0.25">
      <c r="B60" s="554"/>
      <c r="C60" s="189"/>
      <c r="D60" s="190"/>
      <c r="E60" s="198"/>
      <c r="F60" s="190"/>
      <c r="G60" s="198"/>
      <c r="H60" s="199"/>
      <c r="I60" s="198"/>
      <c r="J60" s="199"/>
      <c r="K60" s="191"/>
    </row>
    <row r="61" spans="2:11" ht="15" customHeight="1" x14ac:dyDescent="0.25">
      <c r="B61" s="554" t="s">
        <v>89</v>
      </c>
      <c r="C61" s="189">
        <v>1365647</v>
      </c>
      <c r="D61" s="190">
        <v>13447985</v>
      </c>
      <c r="E61" s="191">
        <f>+D61/C61</f>
        <v>9.8473360978349458</v>
      </c>
      <c r="F61" s="190">
        <v>1499026</v>
      </c>
      <c r="G61" s="186">
        <f>+F61/C61</f>
        <v>1.0976672595480383</v>
      </c>
      <c r="H61" s="190">
        <v>5800</v>
      </c>
      <c r="I61" s="188">
        <f>+H61/C61</f>
        <v>4.2470711684644714E-3</v>
      </c>
      <c r="J61" s="187">
        <f>+D61+F61+H61</f>
        <v>14952811</v>
      </c>
      <c r="K61" s="191">
        <f>+J61/C61</f>
        <v>10.949250428551448</v>
      </c>
    </row>
    <row r="62" spans="2:11" ht="15" customHeight="1" x14ac:dyDescent="0.25">
      <c r="B62" s="554" t="s">
        <v>90</v>
      </c>
      <c r="C62" s="189">
        <v>1704589</v>
      </c>
      <c r="D62" s="190">
        <v>15835054</v>
      </c>
      <c r="E62" s="191">
        <f>+D62/C62</f>
        <v>9.2896610267929685</v>
      </c>
      <c r="F62" s="190">
        <v>1772330</v>
      </c>
      <c r="G62" s="186">
        <f>+F62/C62</f>
        <v>1.0397403714326445</v>
      </c>
      <c r="H62" s="190">
        <v>6832</v>
      </c>
      <c r="I62" s="188">
        <f>+H62/C62</f>
        <v>4.0080042755174412E-3</v>
      </c>
      <c r="J62" s="187">
        <f>+D62+F62+H62</f>
        <v>17614216</v>
      </c>
      <c r="K62" s="191">
        <f>+J62/C62</f>
        <v>10.333409402501131</v>
      </c>
    </row>
    <row r="63" spans="2:11" ht="15" customHeight="1" x14ac:dyDescent="0.25">
      <c r="B63" s="554" t="s">
        <v>91</v>
      </c>
      <c r="C63" s="189">
        <v>1387533</v>
      </c>
      <c r="D63" s="190">
        <v>13029522</v>
      </c>
      <c r="E63" s="191">
        <f>+D63/C63</f>
        <v>9.3904231466927275</v>
      </c>
      <c r="F63" s="190">
        <v>1248690</v>
      </c>
      <c r="G63" s="186">
        <f>+F63/C63</f>
        <v>0.89993535288890425</v>
      </c>
      <c r="H63" s="190">
        <v>5555</v>
      </c>
      <c r="I63" s="188">
        <f>+H63/C63</f>
        <v>4.0035083850257979E-3</v>
      </c>
      <c r="J63" s="187">
        <f>+D63+F63+H63</f>
        <v>14283767</v>
      </c>
      <c r="K63" s="191">
        <f>+J63/C63</f>
        <v>10.294362007966658</v>
      </c>
    </row>
    <row r="64" spans="2:11" ht="15" customHeight="1" x14ac:dyDescent="0.25">
      <c r="B64" s="555" t="s">
        <v>116</v>
      </c>
      <c r="C64" s="194">
        <f>SUM(C61:C63)</f>
        <v>4457769</v>
      </c>
      <c r="D64" s="195">
        <f>SUM(D61:D63)</f>
        <v>42312561</v>
      </c>
      <c r="E64" s="196">
        <f>+D64/C64</f>
        <v>9.4918693633519364</v>
      </c>
      <c r="F64" s="195">
        <f>SUM(F61:F63)</f>
        <v>4520046</v>
      </c>
      <c r="G64" s="213">
        <f>+F64/C64</f>
        <v>1.0139704412678181</v>
      </c>
      <c r="H64" s="195">
        <f>SUM(H61:H63)</f>
        <v>18187</v>
      </c>
      <c r="I64" s="214">
        <f>+H64/C64</f>
        <v>4.0798435271096369E-3</v>
      </c>
      <c r="J64" s="195">
        <f>SUM(J61:J63)</f>
        <v>46850794</v>
      </c>
      <c r="K64" s="196">
        <f>+J64/C64</f>
        <v>10.509919648146864</v>
      </c>
    </row>
    <row r="65" spans="2:11" ht="5.0999999999999996" customHeight="1" x14ac:dyDescent="0.25">
      <c r="B65" s="554"/>
      <c r="C65" s="189"/>
      <c r="D65" s="190"/>
      <c r="E65" s="198"/>
      <c r="F65" s="190"/>
      <c r="G65" s="198"/>
      <c r="H65" s="199"/>
      <c r="I65" s="198"/>
      <c r="J65" s="199"/>
      <c r="K65" s="191"/>
    </row>
    <row r="66" spans="2:11" ht="15" customHeight="1" x14ac:dyDescent="0.25">
      <c r="B66" s="554" t="s">
        <v>93</v>
      </c>
      <c r="C66" s="189">
        <v>1613410</v>
      </c>
      <c r="D66" s="190">
        <v>14718194</v>
      </c>
      <c r="E66" s="191">
        <f>+D66/C66</f>
        <v>9.1224140175156965</v>
      </c>
      <c r="F66" s="190">
        <v>1166746</v>
      </c>
      <c r="G66" s="186">
        <f>+F66/C66</f>
        <v>0.72315530460329369</v>
      </c>
      <c r="H66" s="190">
        <v>7326</v>
      </c>
      <c r="I66" s="188">
        <f>+H66/C66</f>
        <v>4.5406933141606907E-3</v>
      </c>
      <c r="J66" s="187">
        <f>+D66+F66+H66</f>
        <v>15892266</v>
      </c>
      <c r="K66" s="191">
        <f>+J66/C66</f>
        <v>9.8501100154331507</v>
      </c>
    </row>
    <row r="67" spans="2:11" ht="15" customHeight="1" x14ac:dyDescent="0.25">
      <c r="B67" s="554" t="s">
        <v>94</v>
      </c>
      <c r="C67" s="189">
        <v>1410095</v>
      </c>
      <c r="D67" s="190">
        <v>13011212</v>
      </c>
      <c r="E67" s="191">
        <f>+D67/C67</f>
        <v>9.2271882390902746</v>
      </c>
      <c r="F67" s="190">
        <v>1113851</v>
      </c>
      <c r="G67" s="186">
        <f>+F67/C67</f>
        <v>0.78991202720384091</v>
      </c>
      <c r="H67" s="190">
        <v>5481</v>
      </c>
      <c r="I67" s="188">
        <f>+H67/C67</f>
        <v>3.8869721543583944E-3</v>
      </c>
      <c r="J67" s="187">
        <f>+D67+F67+H67</f>
        <v>14130544</v>
      </c>
      <c r="K67" s="191">
        <f>+J67/C67</f>
        <v>10.020987238448473</v>
      </c>
    </row>
    <row r="68" spans="2:11" ht="15" customHeight="1" x14ac:dyDescent="0.25">
      <c r="B68" s="554" t="s">
        <v>101</v>
      </c>
      <c r="C68" s="189">
        <v>1302114</v>
      </c>
      <c r="D68" s="190">
        <v>15089762</v>
      </c>
      <c r="E68" s="191">
        <f>+D68/C68</f>
        <v>11.588664279778882</v>
      </c>
      <c r="F68" s="190">
        <v>967931</v>
      </c>
      <c r="G68" s="186">
        <f>+F68/C68</f>
        <v>0.74335350053835536</v>
      </c>
      <c r="H68" s="190">
        <v>6231</v>
      </c>
      <c r="I68" s="188">
        <f>+H68/C68</f>
        <v>4.7852952967251715E-3</v>
      </c>
      <c r="J68" s="187">
        <f>+D68+F68+H68</f>
        <v>16063924</v>
      </c>
      <c r="K68" s="191">
        <f>+J68/C68</f>
        <v>12.336803075613963</v>
      </c>
    </row>
    <row r="69" spans="2:11" ht="15" customHeight="1" x14ac:dyDescent="0.25">
      <c r="B69" s="555" t="s">
        <v>117</v>
      </c>
      <c r="C69" s="194">
        <f>SUM(C66:C68)</f>
        <v>4325619</v>
      </c>
      <c r="D69" s="195">
        <f>SUM(D66:D68)</f>
        <v>42819168</v>
      </c>
      <c r="E69" s="196">
        <f>+D69/C69</f>
        <v>9.8989689105767287</v>
      </c>
      <c r="F69" s="195">
        <f>SUM(F66:F68)</f>
        <v>3248528</v>
      </c>
      <c r="G69" s="186">
        <f>+F69/C69</f>
        <v>0.75099725611525192</v>
      </c>
      <c r="H69" s="195">
        <f>SUM(H66:H68)</f>
        <v>19038</v>
      </c>
      <c r="I69" s="214">
        <f>+H69/C69</f>
        <v>4.4012198022988155E-3</v>
      </c>
      <c r="J69" s="195">
        <f>SUM(J66:J68)</f>
        <v>46086734</v>
      </c>
      <c r="K69" s="196">
        <f>+J69/C69</f>
        <v>10.654367386494279</v>
      </c>
    </row>
    <row r="70" spans="2:11" ht="5.0999999999999996" customHeight="1" x14ac:dyDescent="0.25">
      <c r="B70" s="554"/>
      <c r="C70" s="189"/>
      <c r="D70" s="190"/>
      <c r="E70" s="198"/>
      <c r="F70" s="190"/>
      <c r="G70" s="198"/>
      <c r="H70" s="199"/>
      <c r="I70" s="198"/>
      <c r="J70" s="199"/>
      <c r="K70" s="191"/>
    </row>
    <row r="71" spans="2:11" ht="15" customHeight="1" x14ac:dyDescent="0.25">
      <c r="B71" s="554" t="s">
        <v>95</v>
      </c>
      <c r="C71" s="189">
        <v>1557561</v>
      </c>
      <c r="D71" s="190">
        <v>17784541</v>
      </c>
      <c r="E71" s="191">
        <f>+D71/C71</f>
        <v>11.418198709392442</v>
      </c>
      <c r="F71" s="190">
        <v>1101149</v>
      </c>
      <c r="G71" s="186">
        <f>+F71/C71</f>
        <v>0.70697006409379792</v>
      </c>
      <c r="H71" s="190">
        <v>7327</v>
      </c>
      <c r="I71" s="188">
        <f>+H71/C71</f>
        <v>4.7041496288106853E-3</v>
      </c>
      <c r="J71" s="187">
        <f>+D71+F71+H71</f>
        <v>18893017</v>
      </c>
      <c r="K71" s="191">
        <f>+J71/C71</f>
        <v>12.12987292311505</v>
      </c>
    </row>
    <row r="72" spans="2:11" ht="15" customHeight="1" x14ac:dyDescent="0.25">
      <c r="B72" s="554" t="s">
        <v>96</v>
      </c>
      <c r="C72" s="189">
        <v>1438535</v>
      </c>
      <c r="D72" s="190">
        <v>13985310</v>
      </c>
      <c r="E72" s="191">
        <f>+D72/C72</f>
        <v>9.7219115280476309</v>
      </c>
      <c r="F72" s="190">
        <v>1174018</v>
      </c>
      <c r="G72" s="186">
        <f>+F72/C72</f>
        <v>0.81612056710472802</v>
      </c>
      <c r="H72" s="190">
        <v>5882</v>
      </c>
      <c r="I72" s="188">
        <v>0</v>
      </c>
      <c r="J72" s="187">
        <f>+D72+F72+H72</f>
        <v>15165210</v>
      </c>
      <c r="K72" s="191">
        <v>0</v>
      </c>
    </row>
    <row r="73" spans="2:11" ht="15" customHeight="1" x14ac:dyDescent="0.25">
      <c r="B73" s="554" t="s">
        <v>97</v>
      </c>
      <c r="C73" s="189">
        <v>1451724</v>
      </c>
      <c r="D73" s="190">
        <v>11672025</v>
      </c>
      <c r="E73" s="191">
        <f>+D73/C73</f>
        <v>8.0401129966853198</v>
      </c>
      <c r="F73" s="190">
        <v>865669</v>
      </c>
      <c r="G73" s="186">
        <f>+F73/C73</f>
        <v>0.59630411841369291</v>
      </c>
      <c r="H73" s="190">
        <v>4865</v>
      </c>
      <c r="I73" s="188">
        <f>+H73/C73</f>
        <v>3.351187966858714E-3</v>
      </c>
      <c r="J73" s="187">
        <f>+D73+F73+H73</f>
        <v>12542559</v>
      </c>
      <c r="K73" s="191">
        <f>+J73/C73</f>
        <v>8.6397683030658712</v>
      </c>
    </row>
    <row r="74" spans="2:11" ht="15" customHeight="1" thickBot="1" x14ac:dyDescent="0.3">
      <c r="B74" s="556" t="s">
        <v>118</v>
      </c>
      <c r="C74" s="200">
        <f>SUM(C71:C73)</f>
        <v>4447820</v>
      </c>
      <c r="D74" s="200">
        <f>SUM(D71:D73)</f>
        <v>43441876</v>
      </c>
      <c r="E74" s="202">
        <f>+D74/C74</f>
        <v>9.7670040604161148</v>
      </c>
      <c r="F74" s="201">
        <f>SUM(F71:F73)</f>
        <v>3140836</v>
      </c>
      <c r="G74" s="213">
        <f>+F74/C74</f>
        <v>0.70615177772481796</v>
      </c>
      <c r="H74" s="201">
        <f>SUM(H71:H73)</f>
        <v>18074</v>
      </c>
      <c r="I74" s="214">
        <f>+H74/C74</f>
        <v>4.0635637233521144E-3</v>
      </c>
      <c r="J74" s="201">
        <f>SUM(J71:J73)</f>
        <v>46600786</v>
      </c>
      <c r="K74" s="202">
        <f>+J74/C74</f>
        <v>10.477219401864284</v>
      </c>
    </row>
    <row r="75" spans="2:11" ht="24.9" customHeight="1" thickBot="1" x14ac:dyDescent="0.3">
      <c r="B75" s="557" t="s">
        <v>119</v>
      </c>
      <c r="C75" s="204">
        <f>+C59+C64+C69+C74</f>
        <v>16628114</v>
      </c>
      <c r="D75" s="205">
        <f>+D59+D64+D69+D74</f>
        <v>167204406</v>
      </c>
      <c r="E75" s="206">
        <f>+D75/C75</f>
        <v>10.055524396813734</v>
      </c>
      <c r="F75" s="205">
        <f>+F59+F64+F69+F74</f>
        <v>14257136</v>
      </c>
      <c r="G75" s="208">
        <f>+F75/C75</f>
        <v>0.8574114899621208</v>
      </c>
      <c r="H75" s="205">
        <f>+H59+H64+H69+H74</f>
        <v>71587</v>
      </c>
      <c r="I75" s="209">
        <f>+H75/C75</f>
        <v>4.3051785668537035E-3</v>
      </c>
      <c r="J75" s="205">
        <f>+J59+J64+J69+J74</f>
        <v>181533129</v>
      </c>
      <c r="K75" s="208">
        <f>+J75/C75</f>
        <v>10.917241065342708</v>
      </c>
    </row>
    <row r="76" spans="2:11" s="14" customFormat="1" ht="15" customHeight="1" x14ac:dyDescent="0.25">
      <c r="B76" s="210" t="s">
        <v>153</v>
      </c>
    </row>
  </sheetData>
  <mergeCells count="24">
    <mergeCell ref="B1:K1"/>
    <mergeCell ref="B2:K2"/>
    <mergeCell ref="B3:K3"/>
    <mergeCell ref="B5:K5"/>
    <mergeCell ref="C30:C31"/>
    <mergeCell ref="F30:G30"/>
    <mergeCell ref="B30:B31"/>
    <mergeCell ref="D6:E6"/>
    <mergeCell ref="J6:K6"/>
    <mergeCell ref="F6:G6"/>
    <mergeCell ref="B6:B7"/>
    <mergeCell ref="C6:C7"/>
    <mergeCell ref="H6:I6"/>
    <mergeCell ref="J54:K54"/>
    <mergeCell ref="H30:I30"/>
    <mergeCell ref="F54:G54"/>
    <mergeCell ref="B29:K29"/>
    <mergeCell ref="B54:B55"/>
    <mergeCell ref="D54:E54"/>
    <mergeCell ref="H54:I54"/>
    <mergeCell ref="J30:K30"/>
    <mergeCell ref="D30:E30"/>
    <mergeCell ref="C54:C55"/>
    <mergeCell ref="B53:K53"/>
  </mergeCells>
  <phoneticPr fontId="0" type="noConversion"/>
  <printOptions horizontalCentered="1"/>
  <pageMargins left="0.59055118110236227" right="0.59055118110236227" top="0.59055118110236227" bottom="0.59055118110236227" header="0" footer="0"/>
  <pageSetup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7</vt:i4>
      </vt:variant>
    </vt:vector>
  </HeadingPairs>
  <TitlesOfParts>
    <vt:vector size="33" baseType="lpstr">
      <vt:lpstr>G-SH-1 ImpPetr,96-02</vt:lpstr>
      <vt:lpstr>G-SH-3 EstCosBarrPetrImp,96-02</vt:lpstr>
      <vt:lpstr>G-SH-2 ValCIFBarrPetrImp,96-02</vt:lpstr>
      <vt:lpstr>G-SH-4 ConsNacDerPetr,96-21</vt:lpstr>
      <vt:lpstr>G-SH-5 PreParProMen,00-21</vt:lpstr>
      <vt:lpstr>G-SH-6 CoUtTRvsSEl,21</vt:lpstr>
      <vt:lpstr>G-SH7 PreProCombCentAmer,15-20</vt:lpstr>
      <vt:lpstr>C-SH-1 ZonLibPetr,17</vt:lpstr>
      <vt:lpstr>C-SH-2A ImpPet,V&amp;CXBarr,96-98</vt:lpstr>
      <vt:lpstr>C-SH-2B ImpPet,V&amp;CXBarr,99-01</vt:lpstr>
      <vt:lpstr>C-SH-2C ImpPet,V&amp;CXBarr,02</vt:lpstr>
      <vt:lpstr>C-SH-3 ZLibPet,Refp&amp;Petr,95-21</vt:lpstr>
      <vt:lpstr>C-SH-4A ConsNacDerPet,99-21</vt:lpstr>
      <vt:lpstr>C-SH-4B ConsNacDerPet99-21</vt:lpstr>
      <vt:lpstr>C-SH-5A ConsCombSectGob,99-21</vt:lpstr>
      <vt:lpstr>C-SH-5B ConsCombSectGob,99-21</vt:lpstr>
      <vt:lpstr>C-SH-6A ConsCombFloPesq,04-21</vt:lpstr>
      <vt:lpstr>C-SH-6B ConsCombFloPesq,04-21</vt:lpstr>
      <vt:lpstr>C-SH-7A VenCombustbEstSer,99-21</vt:lpstr>
      <vt:lpstr>C-SH-7B VenComb&amp;LubEstSer,99-21</vt:lpstr>
      <vt:lpstr>C-SH-8A ComPrParGas&amp;DLiv,99-21</vt:lpstr>
      <vt:lpstr>C-SH-8B ComPrParGas&amp;DLiv,99-21</vt:lpstr>
      <vt:lpstr>C-SH-9 ComPrGas&amp;DieEstSer,01-21</vt:lpstr>
      <vt:lpstr>C-SH-10 SubGasLiq&amp;PrPar,99-21</vt:lpstr>
      <vt:lpstr>C-SH-11 PrPmMenGas&amp;DieCA,09-20</vt:lpstr>
      <vt:lpstr>Hoja1</vt:lpstr>
      <vt:lpstr>'C-SH-11 PrPmMenGas&amp;DieCA,09-20'!Área_de_impresión</vt:lpstr>
      <vt:lpstr>'C-SH-2A ImpPet,V&amp;CXBarr,96-98'!Área_de_impresión</vt:lpstr>
      <vt:lpstr>'C-SH-4A ConsNacDerPet,99-21'!Área_de_impresión</vt:lpstr>
      <vt:lpstr>'C-SH-5A ConsCombSectGob,99-21'!Área_de_impresión</vt:lpstr>
      <vt:lpstr>'C-SH-7A VenCombustbEstSer,99-21'!Área_de_impresión</vt:lpstr>
      <vt:lpstr>'C-SH-8A ComPrParGas&amp;DLiv,99-21'!Área_de_impresión</vt:lpstr>
      <vt:lpstr>'C-SH-9 ComPrGas&amp;DieEstSer,01-21'!Área_de_impresión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de Política Energética</dc:creator>
  <cp:lastModifiedBy>Usuario de Windows</cp:lastModifiedBy>
  <cp:lastPrinted>2015-07-02T14:18:55Z</cp:lastPrinted>
  <dcterms:created xsi:type="dcterms:W3CDTF">2001-07-10T17:11:59Z</dcterms:created>
  <dcterms:modified xsi:type="dcterms:W3CDTF">2022-11-10T16:42:08Z</dcterms:modified>
</cp:coreProperties>
</file>