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" yWindow="96" windowWidth="19836" windowHeight="14580" tabRatio="595" activeTab="0"/>
  </bookViews>
  <sheets>
    <sheet name="G-IE-1 PIBTotPreMerc07,07-21" sheetId="1" r:id="rId1"/>
    <sheet name="G-IE-2 Com%PIB,21" sheetId="2" r:id="rId2"/>
    <sheet name="G-IE-3 IndPreCons,70-21" sheetId="3" r:id="rId3"/>
    <sheet name="G-IE-4 VenElec&amp;PIB,96-21" sheetId="4" r:id="rId4"/>
    <sheet name="G-IE-5 TProCreVenEle&amp;PIB96-21" sheetId="5" r:id="rId5"/>
    <sheet name="G-IE-6 ConEnerXUnPro,96-21" sheetId="6" r:id="rId6"/>
    <sheet name="G-IE-7 OfInEnXPIB,96-21" sheetId="7" r:id="rId7"/>
    <sheet name="G-IE-8 OfInEnPerCap,96-21" sheetId="8" r:id="rId8"/>
    <sheet name="G-IE-9 Elast,97-21" sheetId="9" r:id="rId9"/>
    <sheet name="G-IE-10 IntEner,96-21" sheetId="10" r:id="rId10"/>
    <sheet name="C-IE-1 IndSocDemSCen,90&amp;10" sheetId="11" r:id="rId11"/>
    <sheet name="C-IE-2 PIBSCatActEco,96-21" sheetId="12" r:id="rId12"/>
    <sheet name="C-IE-3 AportActEcon,19-21" sheetId="13" r:id="rId13"/>
    <sheet name="C-IE-4PIBPERCPC,07-21" sheetId="14" r:id="rId14"/>
    <sheet name="C-IE_5 PIBPERCap,07-21" sheetId="15" r:id="rId15"/>
    <sheet name="C-IE-6 IPC,03-21" sheetId="16" r:id="rId16"/>
    <sheet name="C-IE-A IndPrePorMay,01-21" sheetId="17" r:id="rId17"/>
  </sheets>
  <definedNames>
    <definedName name="_Toc4556711" localSheetId="15">'C-IE-6 IPC,03-21'!$B$1</definedName>
    <definedName name="_Toc4556712" localSheetId="15">'C-IE-6 IPC,03-21'!$B$37</definedName>
    <definedName name="_Toc4556713" localSheetId="15">'C-IE-6 IPC,03-21'!$B$38</definedName>
    <definedName name="_Toc4556714" localSheetId="15">'C-IE-6 IPC,03-21'!#REF!</definedName>
    <definedName name="_Toc4556715" localSheetId="15">'C-IE-6 IPC,03-21'!$B$43</definedName>
    <definedName name="_Toc4556716" localSheetId="15">'C-IE-6 IPC,03-21'!$B$48</definedName>
    <definedName name="_Toc4556717" localSheetId="15">'C-IE-6 IPC,03-21'!$B$54</definedName>
    <definedName name="_Toc4556718" localSheetId="15">'C-IE-6 IPC,03-21'!$B$59</definedName>
    <definedName name="_Toc4556719" localSheetId="15">'C-IE-6 IPC,03-21'!#REF!</definedName>
    <definedName name="_Toc4574247" localSheetId="15">'C-IE-6 IPC,03-21'!$B$38</definedName>
  </definedNames>
  <calcPr fullCalcOnLoad="1"/>
</workbook>
</file>

<file path=xl/comments11.xml><?xml version="1.0" encoding="utf-8"?>
<comments xmlns="http://schemas.openxmlformats.org/spreadsheetml/2006/main">
  <authors>
    <author> </author>
  </authors>
  <commentList>
    <comment ref="B2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<sst xmlns="http://schemas.openxmlformats.org/spreadsheetml/2006/main" count="612" uniqueCount="356">
  <si>
    <t>2002/01</t>
  </si>
  <si>
    <t>SEGÚN CATEGORÍA DE ACTIVIDAD ECONÓMICA</t>
  </si>
  <si>
    <t>PRODUCTO INTERNO BRUTO A PRECIOS DE COMPRADOR</t>
  </si>
  <si>
    <t>(PRECIOS DE 1996)</t>
  </si>
  <si>
    <t>Menos: Servicios de intermed.  Financiera (SIFMI)</t>
  </si>
  <si>
    <t xml:space="preserve">Más: Otros Impuestos a los productos </t>
  </si>
  <si>
    <t xml:space="preserve">Menos: Subvenciones a los productos </t>
  </si>
  <si>
    <t>Fuente: Contraloría General de la República, Dirección de Estadística y Censo</t>
  </si>
  <si>
    <t xml:space="preserve"> 1997-96</t>
  </si>
  <si>
    <t xml:space="preserve"> 1998-97</t>
  </si>
  <si>
    <t xml:space="preserve"> 1999-98</t>
  </si>
  <si>
    <t>2000-99</t>
  </si>
  <si>
    <t>2001-00</t>
  </si>
  <si>
    <t>2002-01</t>
  </si>
  <si>
    <t>VARIACION PORCENTUAL ANUAL DEL PIB</t>
  </si>
  <si>
    <t>1996-2000</t>
  </si>
  <si>
    <t>KWh /B/. PIB</t>
  </si>
  <si>
    <t>Gráfica IE-1</t>
  </si>
  <si>
    <t>Gráfica IE-2</t>
  </si>
  <si>
    <t>Gráfica IE-3</t>
  </si>
  <si>
    <t>Gráfica IE-4</t>
  </si>
  <si>
    <t>Gráfica IE-5</t>
  </si>
  <si>
    <t>Gráfica IE-6</t>
  </si>
  <si>
    <t>CUADRO IE-1</t>
  </si>
  <si>
    <t>CUADRO IE-2</t>
  </si>
  <si>
    <t>Cuadro IE-3</t>
  </si>
  <si>
    <t>Cuadro IE-4</t>
  </si>
  <si>
    <t>Variación %</t>
  </si>
  <si>
    <t>Fuente:</t>
  </si>
  <si>
    <t>INDICADORES SOCIO-DEMOGRÁFICOS SEGÚN PROVINCIA</t>
  </si>
  <si>
    <t>Superficie
Km2</t>
  </si>
  <si>
    <t>Habitantes
por km2</t>
  </si>
  <si>
    <t>Mediana de
Ingreso
Mensual
(B/.)</t>
  </si>
  <si>
    <t>Viviendas
Ocupadas</t>
  </si>
  <si>
    <t>Viviendas
Ocupadas
Luz Eléctrica</t>
  </si>
  <si>
    <t>Porcentaje
con
Electricidad</t>
  </si>
  <si>
    <t>Comarca Embera</t>
  </si>
  <si>
    <t>Comarca Ngobe Buglé</t>
  </si>
  <si>
    <t>C E N S O    1 9 9 0</t>
  </si>
  <si>
    <t>C E N S O    2 0 0 0</t>
  </si>
  <si>
    <t>Elec, Gas y Agua</t>
  </si>
  <si>
    <t>Contenido Energético por Unidad de Producto</t>
  </si>
  <si>
    <t>Ventas de Electricidad y Producto Interno Bruto</t>
  </si>
  <si>
    <t>Tasa Promedio de Crecimiento de las Ventas de Electricidad y PIB</t>
  </si>
  <si>
    <t>Composición Porcentual del Producto Interno Bruto</t>
  </si>
  <si>
    <t>Indice de Precios al Consumidor en la Ciudad de Panamá</t>
  </si>
  <si>
    <t>Intermediación Financiera</t>
  </si>
  <si>
    <t>Enseñanza Privada</t>
  </si>
  <si>
    <t>Hoteles y Restaurantes</t>
  </si>
  <si>
    <t xml:space="preserve"> </t>
  </si>
  <si>
    <t>Años</t>
  </si>
  <si>
    <t>Total</t>
  </si>
  <si>
    <t>Bocas del Toro</t>
  </si>
  <si>
    <t>Año</t>
  </si>
  <si>
    <t>Panamá</t>
  </si>
  <si>
    <t>Coclé</t>
  </si>
  <si>
    <t>Herrera</t>
  </si>
  <si>
    <t>Colón</t>
  </si>
  <si>
    <t>Veraguas</t>
  </si>
  <si>
    <t>Los Santos</t>
  </si>
  <si>
    <t>Chiriquí</t>
  </si>
  <si>
    <t>Población</t>
  </si>
  <si>
    <t>(Millones de Balboas)</t>
  </si>
  <si>
    <t>Detalle</t>
  </si>
  <si>
    <t>Provincia</t>
  </si>
  <si>
    <t>Darién</t>
  </si>
  <si>
    <t>Fuente: Contraloría General de la República</t>
  </si>
  <si>
    <t>Descripción</t>
  </si>
  <si>
    <t>Agricultura, ganadería y silvicultura</t>
  </si>
  <si>
    <t>Pesca</t>
  </si>
  <si>
    <t>Explotación de minas y canteras</t>
  </si>
  <si>
    <t>Industrias manufactureras</t>
  </si>
  <si>
    <t>Suministro de electricidad, gas y agua</t>
  </si>
  <si>
    <t>Construcción</t>
  </si>
  <si>
    <t>Hoteles y restaurantes</t>
  </si>
  <si>
    <t>Transporte, almacenamiento y comunic</t>
  </si>
  <si>
    <t>Intermediación financiera</t>
  </si>
  <si>
    <t>Enseñanza</t>
  </si>
  <si>
    <t>Actividades de Servicios Sociales</t>
  </si>
  <si>
    <t>Hogares privados con servicio doméstico</t>
  </si>
  <si>
    <t>Más: Derechos de importación</t>
  </si>
  <si>
    <t>PRODUCTO INTERNO BRUTO TOTAL</t>
  </si>
  <si>
    <t>Alimentacion y bebidas</t>
  </si>
  <si>
    <t>Vestido y calzado</t>
  </si>
  <si>
    <t>Ventas</t>
  </si>
  <si>
    <t>PIB</t>
  </si>
  <si>
    <t>Ventas en GWh</t>
  </si>
  <si>
    <t>PIB Millones de B/.</t>
  </si>
  <si>
    <t>Comercio</t>
  </si>
  <si>
    <t>Otras</t>
  </si>
  <si>
    <t>Agropecuaria</t>
  </si>
  <si>
    <t>Manufacturera</t>
  </si>
  <si>
    <t>Transp y Telecom.</t>
  </si>
  <si>
    <t>Finanzas</t>
  </si>
  <si>
    <t>Inmobil y Serv. Empresar.</t>
  </si>
  <si>
    <t>Inflación</t>
  </si>
  <si>
    <t>Fuente:   Balances Energéticos. República de Panamá</t>
  </si>
  <si>
    <t>Oferta Interna de Energía Per Cápita (OIEPC)</t>
  </si>
  <si>
    <t>Población
(Miles de Hab.)</t>
  </si>
  <si>
    <t>Nota:  La Elasticidad Oferta/PIB se obtiene a partir del cociente entre la variación relativa de la</t>
  </si>
  <si>
    <t xml:space="preserve">          Oferta Interna de energía y la variación relativa del PIB y mide el porcentaje en que   </t>
  </si>
  <si>
    <t xml:space="preserve">          variará la oferta interna de energía al variar el producto interno bruto en uno por ciento.</t>
  </si>
  <si>
    <t>Intensidad Energética (IE)</t>
  </si>
  <si>
    <t>Nota:  * IE Es el cociente entre el consumo final de energía y el Producto Interno Bruto</t>
  </si>
  <si>
    <t xml:space="preserve">            de un millon de producto.</t>
  </si>
  <si>
    <t>Gráfica IE-10</t>
  </si>
  <si>
    <t>Gráfica IE-9</t>
  </si>
  <si>
    <t>Gráfica IE-8</t>
  </si>
  <si>
    <t>Gráfica IE-7</t>
  </si>
  <si>
    <t>Variación de la Oferta Interna
(%)</t>
  </si>
  <si>
    <t>Elasticidad</t>
  </si>
  <si>
    <t>OI/PIB
(Tep/MMB/.1996)</t>
  </si>
  <si>
    <t>Oferta Interna de Energía por Unidad de PIB Real</t>
  </si>
  <si>
    <t>Elasticidad: Variación de Oferta Interna de Energía por Variación de Unidad de PIB Real (EOIE/PIB)</t>
  </si>
  <si>
    <t>Variación del PIB Real
(%)</t>
  </si>
  <si>
    <t>PIB Real
(Miles B/.1996)</t>
  </si>
  <si>
    <t>Indice de Precios al Por Mayor</t>
  </si>
  <si>
    <t>Cuadro IE-A</t>
  </si>
  <si>
    <t>Importación</t>
  </si>
  <si>
    <t>Industrial</t>
  </si>
  <si>
    <t>Actividades inmobiliarias, empresariales y alquler</t>
  </si>
  <si>
    <t>Otras Actividades Comunitarias, sociales</t>
  </si>
  <si>
    <t>Más: Impuestos a las trasnferencias de bienes mueb.</t>
  </si>
  <si>
    <t>2003-02</t>
  </si>
  <si>
    <t xml:space="preserve">Más: Impuestos a las transferencias de bienes </t>
  </si>
  <si>
    <t>2003/02</t>
  </si>
  <si>
    <t>PIB Real
(MM de B/.1996)</t>
  </si>
  <si>
    <t>2004-03</t>
  </si>
  <si>
    <t xml:space="preserve">Producto Interno Bruto a Precios de Comprador </t>
  </si>
  <si>
    <t>servicios de cultura</t>
  </si>
  <si>
    <t>Bienes y servicios diversos</t>
  </si>
  <si>
    <t>Dirección de Estadistica y Censo, Contraloría General de la República</t>
  </si>
  <si>
    <t>Division y Agrupación de Bienes y Servicios</t>
  </si>
  <si>
    <t>Vivienda, agua, electricidad y gas</t>
  </si>
  <si>
    <t xml:space="preserve">Muebles, equipos del hogar y </t>
  </si>
  <si>
    <t>mantenimiento rutinario de la  casa</t>
  </si>
  <si>
    <t>Salud</t>
  </si>
  <si>
    <t xml:space="preserve">Transporte </t>
  </si>
  <si>
    <t>Esparcimiento, diversión  y</t>
  </si>
  <si>
    <t>Agropecuario</t>
  </si>
  <si>
    <t>2004/03</t>
  </si>
  <si>
    <t>Comercio al por mayor y al por menor, reparacion de</t>
  </si>
  <si>
    <t xml:space="preserve">vehiculos Automotores, Motocicletas, efectos </t>
  </si>
  <si>
    <t>personales y enseres domesticos</t>
  </si>
  <si>
    <t>Actividades de Servicios Sociales y salud privada</t>
  </si>
  <si>
    <t xml:space="preserve">Actividades inmobiliarias  empresariales y de alquiler </t>
  </si>
  <si>
    <t xml:space="preserve">  </t>
  </si>
  <si>
    <t xml:space="preserve">           Subtotal Producción de mercado  </t>
  </si>
  <si>
    <t xml:space="preserve">        Subtotal Produccion para uso final propio</t>
  </si>
  <si>
    <t xml:space="preserve">        Otra Produccion no de mercado</t>
  </si>
  <si>
    <t>VALOR AGREGADO BRUTO EN VALORES BASICOS</t>
  </si>
  <si>
    <t xml:space="preserve">PRODUCTO INTERNO BRUTO A PRECIOS DE COMPRADOR  </t>
  </si>
  <si>
    <t>2005-04</t>
  </si>
  <si>
    <t>2005/04</t>
  </si>
  <si>
    <t xml:space="preserve">Actividades de Servicios </t>
  </si>
  <si>
    <t>Indice de Precios al Consumidor Nacional Urbano</t>
  </si>
  <si>
    <t>Años: 1970 - 2003</t>
  </si>
  <si>
    <t>hasta 2003</t>
  </si>
  <si>
    <t>desde 2003</t>
  </si>
  <si>
    <t>Por Metodología</t>
  </si>
  <si>
    <t>2006-05</t>
  </si>
  <si>
    <t>2006/05</t>
  </si>
  <si>
    <t>Oferta Interna
(Bep)</t>
  </si>
  <si>
    <t>Unidades:  Barriles equivalentes de petróleo (Bep) por Millón de balboas de 1996</t>
  </si>
  <si>
    <t>Unidades:  Barriles equivalentes de petróleo (Bep) por cada 1,000 Hab.</t>
  </si>
  <si>
    <t>Unidades:  Barriles equivalentes de petróleo (Bep) por Miles de B/. de 1996</t>
  </si>
  <si>
    <t>OIEPC
(Bep/1,000Hab.)</t>
  </si>
  <si>
    <t>Consumo Final de Energía
(Bep)</t>
  </si>
  <si>
    <t>2007-06</t>
  </si>
  <si>
    <t>2007/06</t>
  </si>
  <si>
    <t>2008-07</t>
  </si>
  <si>
    <t>2008/07</t>
  </si>
  <si>
    <t>2009-08</t>
  </si>
  <si>
    <t>2009/08</t>
  </si>
  <si>
    <r>
      <t xml:space="preserve">Intensidad Energética *
</t>
    </r>
    <r>
      <rPr>
        <b/>
        <sz val="8"/>
        <rFont val="Arial"/>
        <family val="2"/>
      </rPr>
      <t>(Bep/Miles B/. 1996)</t>
    </r>
  </si>
  <si>
    <t>2010-09</t>
  </si>
  <si>
    <t>C E N S O    2010</t>
  </si>
  <si>
    <t>Guna Yala</t>
  </si>
  <si>
    <t>Comarca Ngöbe Bugle</t>
  </si>
  <si>
    <t>Comarca Guna Yala</t>
  </si>
  <si>
    <t>2010/09</t>
  </si>
  <si>
    <t xml:space="preserve">            expresado en valor constante y refleja la cantidad de Bep requeridas para la obtención </t>
  </si>
  <si>
    <t>2011-10</t>
  </si>
  <si>
    <t>2011/10</t>
  </si>
  <si>
    <t>2012 (E)</t>
  </si>
  <si>
    <t>1996 - 2012</t>
  </si>
  <si>
    <t>2011 (p)</t>
  </si>
  <si>
    <t>2012-11</t>
  </si>
  <si>
    <t>2012/11</t>
  </si>
  <si>
    <t>Años: 1996 - 2012</t>
  </si>
  <si>
    <t>2000-2012</t>
  </si>
  <si>
    <t>PIB del año 2012, estimado</t>
  </si>
  <si>
    <t>Años: 1997 - 2012</t>
  </si>
  <si>
    <t>2011 (P): Cifras Preliminares</t>
  </si>
  <si>
    <t>2012 (*):  Cifras Estimadas</t>
  </si>
  <si>
    <t>Años:  2003 - 2013</t>
  </si>
  <si>
    <t>2013/12</t>
  </si>
  <si>
    <t>Administración Pública y defensa; seguridad social</t>
  </si>
  <si>
    <t>de afiliación obligatoria</t>
  </si>
  <si>
    <t xml:space="preserve">Enseñanza </t>
  </si>
  <si>
    <t>Actividades de Servicios Sociales y salud pública</t>
  </si>
  <si>
    <t>Otras Actividades Comunitarias, sociales y personales</t>
  </si>
  <si>
    <t>de servicios</t>
  </si>
  <si>
    <t>PRODUCTO INTERNO BRUTO A PRECIOS DE COMPRADOR EN LA REPÚBLICA</t>
  </si>
  <si>
    <t>SEGÚN CATEGORÍA DE ACTIVIDAD ECONÓMICA, A PRECIOS CORRIENTES</t>
  </si>
  <si>
    <t>(Serie Preliminardel cambio de año base a  2007)</t>
  </si>
  <si>
    <t>2009-8</t>
  </si>
  <si>
    <t>2013-12</t>
  </si>
  <si>
    <t>NOTA:</t>
  </si>
  <si>
    <t>año base (2007)</t>
  </si>
  <si>
    <t>Fuente :   INEC</t>
  </si>
  <si>
    <t>Hoteles Restaurantes</t>
  </si>
  <si>
    <t>Años: 2003 - 2013</t>
  </si>
  <si>
    <t>2007-2010</t>
  </si>
  <si>
    <t>Unidades:  Barriles equivalentes de petróleo (Bep) por Millón de balboas de 2007</t>
  </si>
  <si>
    <t>OI/PIB
(Tep/MMB/.2007)</t>
  </si>
  <si>
    <t>Bep:   Balances Energéticos. República de Panamá</t>
  </si>
  <si>
    <t>Unidades:  Barriles equivalentes de petróleo (Bep) por Miles de B/. de 2007</t>
  </si>
  <si>
    <t>PIB Real
(Miles B/.2007)</t>
  </si>
  <si>
    <r>
      <t xml:space="preserve">Intensidad Energética *
</t>
    </r>
    <r>
      <rPr>
        <b/>
        <sz val="8"/>
        <rFont val="Arial"/>
        <family val="2"/>
      </rPr>
      <t>(Bep/Miles B/. 2007)</t>
    </r>
  </si>
  <si>
    <t xml:space="preserve">Bep:  Barriles equivalentes de Petróleo  </t>
  </si>
  <si>
    <t>Fuente:  Balance Energético Nacional,  Secretaría Nacional de Energía</t>
  </si>
  <si>
    <t>2014-13</t>
  </si>
  <si>
    <t>2014/13</t>
  </si>
  <si>
    <t>2013/2012</t>
  </si>
  <si>
    <t>Alimentos y Bebidas no Alcohólicas</t>
  </si>
  <si>
    <t>Bebidas  Alcohólicas y Tabaco</t>
  </si>
  <si>
    <t>Prendas de Vestir y Calzados</t>
  </si>
  <si>
    <t>Muebles, Artículos para el Hogar y para</t>
  </si>
  <si>
    <t>la Conservación Ordinaria del Hogar</t>
  </si>
  <si>
    <t>Comunicaciones</t>
  </si>
  <si>
    <t>Recreación y Cultura</t>
  </si>
  <si>
    <t>Educación</t>
  </si>
  <si>
    <t>Restaurantes y Hoteles</t>
  </si>
  <si>
    <t>Grupos de Artículos y Servicios</t>
  </si>
  <si>
    <t>Fuente:  Instituto Nacional de Estadísticas y Censos  -   Base año  2013</t>
  </si>
  <si>
    <t>Aportes Porcentuales de las Actividades Económicas, a la Variación Absoluta anual</t>
  </si>
  <si>
    <t>Agricultura, Ganaderia, caza y Silvicultura</t>
  </si>
  <si>
    <t>Explotación de Minas y canteras</t>
  </si>
  <si>
    <t>Industrias Manufactureras</t>
  </si>
  <si>
    <t>Suministro de Electricidad y Agua</t>
  </si>
  <si>
    <t>Transportes, almacenamiento y comunicaciones</t>
  </si>
  <si>
    <t>Actividades Inmobiliarias y Empresariales y de alquiler</t>
  </si>
  <si>
    <t>Otras actividades comunitarias, sociales y personales  de servicios</t>
  </si>
  <si>
    <t>Producto Interno Bruto a Precio de Comprador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</si>
  <si>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</si>
  <si>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</si>
  <si>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</si>
  <si>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</si>
  <si>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</si>
  <si>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</si>
  <si>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</si>
  <si>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</si>
  <si>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</si>
  <si>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</si>
  <si>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O</t>
  </si>
  <si>
    <t>Económica</t>
  </si>
  <si>
    <t xml:space="preserve">Aporte Porcentual </t>
  </si>
  <si>
    <t>Categoría de</t>
  </si>
  <si>
    <t>Actividad</t>
  </si>
  <si>
    <t>Otra producción no de mercado  (1)</t>
  </si>
  <si>
    <t>Otras actividades   (2)</t>
  </si>
  <si>
    <t>(1)   Corresponde al Gobierno General e incluye los valores agregados pertenecientes a las categorias     económicas L,M,N y O de la CIIU.</t>
  </si>
  <si>
    <t>(2)   Incluye pesca, servicios de enseñanza y salud privados, servicios domesticos, SIFMI e impuestos sobre los productos netos de subsidios.</t>
  </si>
  <si>
    <t>Fuente:  Instituto Nacional de Estadísticas y Censos</t>
  </si>
  <si>
    <t>(Serie preliminar del Cambio de año base a 2007)</t>
  </si>
  <si>
    <t xml:space="preserve">Producto interno bruto </t>
  </si>
  <si>
    <t>Variación porcentual anual</t>
  </si>
  <si>
    <t>a precios de comprador</t>
  </si>
  <si>
    <t xml:space="preserve"> Total (en millones  de balboas de 2007)</t>
  </si>
  <si>
    <t xml:space="preserve">   Per cápita (1)   (en balboas de 2007)</t>
  </si>
  <si>
    <t>PIB total</t>
  </si>
  <si>
    <t>PIB  Per cápita</t>
  </si>
  <si>
    <t xml:space="preserve">(1)   Con base en las estimaciones y proyecciones de la  población total de la República al  1º de julio </t>
  </si>
  <si>
    <t xml:space="preserve">         de cada año, elaboradas con los resultados  del Censo  Nacional de Población del 2010.</t>
  </si>
  <si>
    <t>Insttituto Nacional de Estadística y Censos.</t>
  </si>
  <si>
    <t>PIB Real
(MM de B/.2007)</t>
  </si>
  <si>
    <t>Comercio al por mayor y menor; reparación de vehiculos automotores, moticicletas, efectos personales y enseres domésticos</t>
  </si>
  <si>
    <t>PRODUCCION DE MERCADO</t>
  </si>
  <si>
    <t>PRODUCCION PARA USO FINAL PROPIO</t>
  </si>
  <si>
    <t>OTRA PRODUCCION NO DE MERCADO</t>
  </si>
  <si>
    <t>Más:  Impuestos a los productos netos de subvenciones</t>
  </si>
  <si>
    <t>2015-14</t>
  </si>
  <si>
    <t>2015/14</t>
  </si>
  <si>
    <t>Nota:   Nuevo cáculo, año base 2013</t>
  </si>
  <si>
    <t>Indice</t>
  </si>
  <si>
    <t>de precios</t>
  </si>
  <si>
    <t>al consumidor</t>
  </si>
  <si>
    <t>2016-15</t>
  </si>
  <si>
    <t xml:space="preserve">  PRODUCTO  INTERNO BRUTO  A  PRECIOS  DE COMPRADOR  EN LA REPUBLICA                                                                                                                                                                             </t>
  </si>
  <si>
    <t xml:space="preserve">EN MEDIDAS DE VOLUMEN ENCADENADAS TOTAL  PER CÁPITA  Y  SUS                        </t>
  </si>
  <si>
    <t>2016/15</t>
  </si>
  <si>
    <t>Minas y Canteras</t>
  </si>
  <si>
    <t xml:space="preserve">PIB: </t>
  </si>
  <si>
    <t>Años:  2001 - 2016</t>
  </si>
  <si>
    <t>2017-16</t>
  </si>
  <si>
    <t>del Producto Interno Bruto (PIB) en la República de Panamá.</t>
  </si>
  <si>
    <t>2018-17</t>
  </si>
  <si>
    <t xml:space="preserve">Nota: A precios de comprador, en medida de volumen encadenadas, con año de referencia 2007 </t>
  </si>
  <si>
    <t xml:space="preserve">A PRECIOS CORRIENTES TOTAL  PER CÁPITA  Y  SUS                        </t>
  </si>
  <si>
    <t xml:space="preserve"> Total (en millones  de balboas )</t>
  </si>
  <si>
    <t xml:space="preserve">   Per cápita (1)   (en balboas )</t>
  </si>
  <si>
    <t xml:space="preserve">(1)  Con base en las estimaciones de la  población total de la República al 1 de julio de cada año, elaboradas con los </t>
  </si>
  <si>
    <t>resultados del Censo Nacional de Población del 2010.</t>
  </si>
  <si>
    <t>Cuadro IE-5</t>
  </si>
  <si>
    <t>Cuadro IE-6</t>
  </si>
  <si>
    <t>2019-18</t>
  </si>
  <si>
    <t>División de bienes</t>
  </si>
  <si>
    <t>Variación porcentual</t>
  </si>
  <si>
    <t>TOTAL</t>
  </si>
  <si>
    <t xml:space="preserve">Productos de la agricultura y la horticultura </t>
  </si>
  <si>
    <t>Otras minas y canteras</t>
  </si>
  <si>
    <t>Productos alimenticios y bebidas</t>
  </si>
  <si>
    <t>Productos de tabaco</t>
  </si>
  <si>
    <t>Productos textiles</t>
  </si>
  <si>
    <t>Calzado</t>
  </si>
  <si>
    <t>Productos de la refinación del petróleo</t>
  </si>
  <si>
    <t>Sustancias y productos químicos</t>
  </si>
  <si>
    <t>Productos de caucho y plástico</t>
  </si>
  <si>
    <t>Otros productos minerales no metálicos</t>
  </si>
  <si>
    <t>Metales comunes</t>
  </si>
  <si>
    <t>Productos elaborados de metal</t>
  </si>
  <si>
    <t>Maquinaria y equipo n.c.p.</t>
  </si>
  <si>
    <t>Maquinaria de oficina</t>
  </si>
  <si>
    <t>Maquinaria y aparatos eléctricos</t>
  </si>
  <si>
    <t>Equipos y aparatos de radio, televisión y telecomunicaciones</t>
  </si>
  <si>
    <t>Instrumentos médicos, ópticos, y de precisión y relojes</t>
  </si>
  <si>
    <t>Vehículos automotores, remolques y semirremolques</t>
  </si>
  <si>
    <t>Otros tipos de equipo de transporte</t>
  </si>
  <si>
    <t>Muebles; otros bienes transportables n.c.p.</t>
  </si>
  <si>
    <t xml:space="preserve"> ÍNDICE DE PRECIOS DE COMERCIO MAYORISTA EN LA REPÚBLICA Y VARIACIÓN</t>
  </si>
  <si>
    <t>Fuente:   Instituto Nacional de Estadisticas  y Censos  (INEC)</t>
  </si>
  <si>
    <t>2020 (E)</t>
  </si>
  <si>
    <t>2020-19</t>
  </si>
  <si>
    <t>Variación absoluta anual del PIB</t>
  </si>
  <si>
    <t>(en millones de balboas)</t>
  </si>
  <si>
    <t>2016=100 (a)</t>
  </si>
  <si>
    <t xml:space="preserve">      Indice de Precios                             </t>
  </si>
  <si>
    <t>2021 (E)</t>
  </si>
  <si>
    <t>2007  - 2021</t>
  </si>
  <si>
    <t>2019 (P)</t>
  </si>
  <si>
    <t>2021-20</t>
  </si>
  <si>
    <t xml:space="preserve">  Años 2019 - 2021</t>
  </si>
  <si>
    <t>2019-18 (P)</t>
  </si>
  <si>
    <t>2020-19 (E)</t>
  </si>
  <si>
    <t>2021-20(E)</t>
  </si>
  <si>
    <t>Años: 2007 - 2021</t>
  </si>
  <si>
    <t>VARIACIONES PORCENTUALES : AÑOS 2007-2021</t>
  </si>
  <si>
    <t>VARIACIONES PORCENTUALES ANUALES: AÑOS 2007-2021</t>
  </si>
  <si>
    <t>Años 2014 - 2021</t>
  </si>
  <si>
    <t>PORCENTUAL, POR DIVISIÓN DE BIENES: AÑOS 2019-21</t>
  </si>
  <si>
    <t>Años: 2013 - 2021</t>
  </si>
  <si>
    <t>2010-2021</t>
  </si>
  <si>
    <t>Años: 1996 - 2021</t>
  </si>
  <si>
    <t>Años: 2008 - 2021</t>
  </si>
  <si>
    <t>Años: 2007- 2021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</si>
</sst>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.0"/>
    <numFmt numFmtId="185" formatCode="0.0"/>
    <numFmt numFmtId="186" formatCode="0.0%"/>
    <numFmt numFmtId="187" formatCode="#,##0.0_);\(#,##0.0\)"/>
    <numFmt numFmtId="188" formatCode="0.000"/>
    <numFmt numFmtId="189" formatCode="_-[$€-2]* #,##0.00_-;\-[$€-2]* #,##0.00_-;_-[$€-2]* &quot;-&quot;??_-"/>
    <numFmt numFmtId="190" formatCode="#,##0.0_ ;[Red]\-#,##0.0\ "/>
    <numFmt numFmtId="191" formatCode="#,##0_ ;[Red]\-#,##0\ "/>
    <numFmt numFmtId="192" formatCode="0.000%"/>
    <numFmt numFmtId="193" formatCode="#,##0.0_ ;[Red]\-#,##0.0"/>
    <numFmt numFmtId="194" formatCode="#,##0.00_ ;[Red]\-#,##0.00"/>
    <numFmt numFmtId="195" formatCode="#,##0.000_ ;[Red]\-#,##0.000"/>
    <numFmt numFmtId="196" formatCode="#,##0.0_ ;\-#,##0.0\ "/>
    <numFmt numFmtId="197" formatCode="#,##0_ ;[Red]\-#,##0"/>
    <numFmt numFmtId="198" formatCode="0.000000"/>
    <numFmt numFmtId="199" formatCode="0.00000"/>
    <numFmt numFmtId="200" formatCode="0.0000"/>
    <numFmt numFmtId="201" formatCode="0.0000000"/>
    <numFmt numFmtId="202" formatCode="#,##0.00_ ;[Red]\-#,##0.00\ "/>
    <numFmt numFmtId="203" formatCode="#,##0.000_ ;[Red]\-#,##0.000\ "/>
    <numFmt numFmtId="204" formatCode="#,##0.0000_ ;[Red]\-#,##0.0000\ "/>
    <numFmt numFmtId="205" formatCode="#,##0.00000_ ;[Red]\-#,##0.00000\ "/>
    <numFmt numFmtId="206" formatCode="#,##0.000000_ ;[Red]\-#,##0.000000\ "/>
    <numFmt numFmtId="207" formatCode="0.0_)"/>
    <numFmt numFmtId="208" formatCode="0.00000000"/>
    <numFmt numFmtId="209" formatCode="#,##0\ [$€-1];[Red]\-#,##0\ [$€-1]"/>
    <numFmt numFmtId="210" formatCode="#,##0.000"/>
    <numFmt numFmtId="211" formatCode="#,##0.0000"/>
    <numFmt numFmtId="212" formatCode="#,##0.00000"/>
    <numFmt numFmtId="213" formatCode="0.000000000"/>
    <numFmt numFmtId="214" formatCode="0.0000000000"/>
    <numFmt numFmtId="215" formatCode="0.00000000000"/>
    <numFmt numFmtId="216" formatCode="#,##0.0;[Red]#,##0.0"/>
  </numFmts>
  <fonts count="9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.5"/>
      <color indexed="8"/>
      <name val="Arial"/>
      <family val="2"/>
    </font>
    <font>
      <b/>
      <sz val="11"/>
      <name val="Arial"/>
      <family val="2"/>
    </font>
    <font>
      <sz val="12"/>
      <name val="SWISS"/>
      <family val="0"/>
    </font>
    <font>
      <b/>
      <sz val="9"/>
      <name val="Times New Roman"/>
      <family val="1"/>
    </font>
    <font>
      <sz val="18.5"/>
      <color indexed="8"/>
      <name val="Tahoma"/>
      <family val="0"/>
    </font>
    <font>
      <sz val="8"/>
      <color indexed="8"/>
      <name val="Arial"/>
      <family val="0"/>
    </font>
    <font>
      <sz val="2"/>
      <color indexed="8"/>
      <name val="Tahoma"/>
      <family val="0"/>
    </font>
    <font>
      <b/>
      <sz val="1.5"/>
      <color indexed="8"/>
      <name val="Arial"/>
      <family val="0"/>
    </font>
    <font>
      <sz val="1"/>
      <color indexed="8"/>
      <name val="Arial"/>
      <family val="0"/>
    </font>
    <font>
      <b/>
      <sz val="1"/>
      <color indexed="8"/>
      <name val="Tahoma"/>
      <family val="0"/>
    </font>
    <font>
      <b/>
      <sz val="8.5"/>
      <color indexed="8"/>
      <name val="Arial"/>
      <family val="0"/>
    </font>
    <font>
      <sz val="7.1"/>
      <color indexed="8"/>
      <name val="Arial"/>
      <family val="0"/>
    </font>
    <font>
      <b/>
      <sz val="8.25"/>
      <color indexed="8"/>
      <name val="Times New Roman"/>
      <family val="0"/>
    </font>
    <font>
      <sz val="8.25"/>
      <color indexed="8"/>
      <name val="Times New Roman"/>
      <family val="0"/>
    </font>
    <font>
      <b/>
      <sz val="5.7"/>
      <color indexed="8"/>
      <name val="Times New Roman"/>
      <family val="0"/>
    </font>
    <font>
      <b/>
      <sz val="7.35"/>
      <color indexed="8"/>
      <name val="Times New Roman"/>
      <family val="0"/>
    </font>
    <font>
      <sz val="19.75"/>
      <color indexed="8"/>
      <name val="Tahoma"/>
      <family val="0"/>
    </font>
    <font>
      <b/>
      <sz val="7.1"/>
      <color indexed="8"/>
      <name val="Arial"/>
      <family val="0"/>
    </font>
    <font>
      <sz val="20.75"/>
      <color indexed="8"/>
      <name val="Tahoma"/>
      <family val="0"/>
    </font>
    <font>
      <sz val="8"/>
      <color indexed="8"/>
      <name val="Times New Roman"/>
      <family val="0"/>
    </font>
    <font>
      <b/>
      <sz val="6.4"/>
      <color indexed="8"/>
      <name val="Times New Roman"/>
      <family val="0"/>
    </font>
    <font>
      <sz val="12"/>
      <color indexed="8"/>
      <name val="Arial"/>
      <family val="0"/>
    </font>
    <font>
      <sz val="8.75"/>
      <color indexed="8"/>
      <name val="Arial"/>
      <family val="0"/>
    </font>
    <font>
      <b/>
      <sz val="6"/>
      <color indexed="8"/>
      <name val="Arial"/>
      <family val="0"/>
    </font>
    <font>
      <b/>
      <sz val="6.25"/>
      <color indexed="8"/>
      <name val="Arial"/>
      <family val="0"/>
    </font>
    <font>
      <b/>
      <sz val="6.3"/>
      <color indexed="8"/>
      <name val="Arial"/>
      <family val="0"/>
    </font>
    <font>
      <b/>
      <sz val="6.6"/>
      <color indexed="8"/>
      <name val="Arial"/>
      <family val="0"/>
    </font>
    <font>
      <b/>
      <sz val="5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0"/>
    </font>
    <font>
      <sz val="9"/>
      <color indexed="8"/>
      <name val="Times New Roman"/>
      <family val="0"/>
    </font>
    <font>
      <b/>
      <sz val="9.5"/>
      <color indexed="10"/>
      <name val="Tahoma"/>
      <family val="0"/>
    </font>
    <font>
      <sz val="9.5"/>
      <color indexed="10"/>
      <name val="Tahoma"/>
      <family val="0"/>
    </font>
    <font>
      <sz val="1"/>
      <color indexed="8"/>
      <name val="Tahoma"/>
      <family val="0"/>
    </font>
    <font>
      <sz val="1"/>
      <color indexed="8"/>
      <name val="Times New Roman"/>
      <family val="0"/>
    </font>
    <font>
      <b/>
      <sz val="1"/>
      <color indexed="8"/>
      <name val="Arial"/>
      <family val="0"/>
    </font>
    <font>
      <b/>
      <sz val="1"/>
      <color indexed="8"/>
      <name val="Arial Black"/>
      <family val="0"/>
    </font>
    <font>
      <b/>
      <sz val="1.25"/>
      <color indexed="8"/>
      <name val="Arial"/>
      <family val="0"/>
    </font>
    <font>
      <b/>
      <sz val="8"/>
      <color indexed="8"/>
      <name val="Arial"/>
      <family val="0"/>
    </font>
    <font>
      <b/>
      <sz val="9.75"/>
      <color indexed="8"/>
      <name val="Arial"/>
      <family val="0"/>
    </font>
    <font>
      <b/>
      <sz val="9.5"/>
      <color indexed="8"/>
      <name val="Times New Roman"/>
      <family val="0"/>
    </font>
    <font>
      <b/>
      <sz val="10.25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1"/>
      <color indexed="8"/>
      <name val="Arial"/>
      <family val="0"/>
    </font>
    <font>
      <b/>
      <sz val="10.75"/>
      <color indexed="8"/>
      <name val="Arial"/>
      <family val="0"/>
    </font>
    <font>
      <b/>
      <sz val="8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20" borderId="1" applyNumberFormat="0" applyAlignment="0" applyProtection="0"/>
    <xf numFmtId="0" fontId="84" fillId="21" borderId="2" applyNumberFormat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8" fillId="28" borderId="1" applyNumberFormat="0" applyAlignment="0" applyProtection="0"/>
    <xf numFmtId="18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9" fillId="2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0" fillId="30" borderId="0" applyNumberFormat="0" applyBorder="0" applyAlignment="0" applyProtection="0"/>
    <xf numFmtId="0" fontId="0" fillId="0" borderId="0">
      <alignment/>
      <protection/>
    </xf>
    <xf numFmtId="207" fontId="19" fillId="0" borderId="0">
      <alignment/>
      <protection/>
    </xf>
    <xf numFmtId="0" fontId="8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91" fillId="20" borderId="6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7" applyNumberFormat="0" applyFill="0" applyAlignment="0" applyProtection="0"/>
    <xf numFmtId="0" fontId="87" fillId="0" borderId="8" applyNumberFormat="0" applyFill="0" applyAlignment="0" applyProtection="0"/>
    <xf numFmtId="0" fontId="96" fillId="0" borderId="9" applyNumberFormat="0" applyFill="0" applyAlignment="0" applyProtection="0"/>
  </cellStyleXfs>
  <cellXfs count="7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85" fontId="7" fillId="0" borderId="13" xfId="0" applyNumberFormat="1" applyFont="1" applyBorder="1" applyAlignment="1">
      <alignment horizontal="center" vertical="center"/>
    </xf>
    <xf numFmtId="185" fontId="7" fillId="0" borderId="14" xfId="0" applyNumberFormat="1" applyFont="1" applyBorder="1" applyAlignment="1">
      <alignment horizontal="center" vertical="center"/>
    </xf>
    <xf numFmtId="190" fontId="1" fillId="0" borderId="15" xfId="0" applyNumberFormat="1" applyFont="1" applyBorder="1" applyAlignment="1" applyProtection="1">
      <alignment vertical="center"/>
      <protection/>
    </xf>
    <xf numFmtId="190" fontId="1" fillId="0" borderId="13" xfId="0" applyNumberFormat="1" applyFont="1" applyBorder="1" applyAlignment="1" applyProtection="1">
      <alignment vertical="center"/>
      <protection/>
    </xf>
    <xf numFmtId="190" fontId="1" fillId="0" borderId="10" xfId="0" applyNumberFormat="1" applyFont="1" applyBorder="1" applyAlignment="1" applyProtection="1">
      <alignment vertical="center"/>
      <protection/>
    </xf>
    <xf numFmtId="190" fontId="1" fillId="0" borderId="13" xfId="0" applyNumberFormat="1" applyFont="1" applyBorder="1" applyAlignment="1" applyProtection="1">
      <alignment horizontal="right" vertical="center"/>
      <protection/>
    </xf>
    <xf numFmtId="190" fontId="1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84" fontId="7" fillId="0" borderId="0" xfId="0" applyNumberFormat="1" applyFont="1" applyBorder="1" applyAlignment="1">
      <alignment vertical="center"/>
    </xf>
    <xf numFmtId="186" fontId="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190" fontId="7" fillId="0" borderId="16" xfId="0" applyNumberFormat="1" applyFont="1" applyBorder="1" applyAlignment="1" applyProtection="1">
      <alignment vertical="center"/>
      <protection/>
    </xf>
    <xf numFmtId="190" fontId="7" fillId="0" borderId="15" xfId="0" applyNumberFormat="1" applyFont="1" applyBorder="1" applyAlignment="1" applyProtection="1">
      <alignment vertical="center"/>
      <protection/>
    </xf>
    <xf numFmtId="190" fontId="7" fillId="0" borderId="17" xfId="0" applyNumberFormat="1" applyFont="1" applyBorder="1" applyAlignment="1" applyProtection="1">
      <alignment vertical="center"/>
      <protection/>
    </xf>
    <xf numFmtId="190" fontId="7" fillId="0" borderId="18" xfId="0" applyNumberFormat="1" applyFont="1" applyBorder="1" applyAlignment="1" applyProtection="1">
      <alignment vertical="center"/>
      <protection/>
    </xf>
    <xf numFmtId="190" fontId="7" fillId="0" borderId="13" xfId="0" applyNumberFormat="1" applyFont="1" applyBorder="1" applyAlignment="1" applyProtection="1">
      <alignment vertical="center"/>
      <protection/>
    </xf>
    <xf numFmtId="190" fontId="7" fillId="0" borderId="10" xfId="0" applyNumberFormat="1" applyFont="1" applyBorder="1" applyAlignment="1" applyProtection="1">
      <alignment vertical="center"/>
      <protection/>
    </xf>
    <xf numFmtId="190" fontId="7" fillId="0" borderId="15" xfId="0" applyNumberFormat="1" applyFont="1" applyBorder="1" applyAlignment="1">
      <alignment vertical="center"/>
    </xf>
    <xf numFmtId="190" fontId="7" fillId="0" borderId="13" xfId="0" applyNumberFormat="1" applyFont="1" applyBorder="1" applyAlignment="1">
      <alignment vertical="center"/>
    </xf>
    <xf numFmtId="190" fontId="7" fillId="0" borderId="13" xfId="0" applyNumberFormat="1" applyFont="1" applyBorder="1" applyAlignment="1" applyProtection="1">
      <alignment horizontal="left" vertical="center"/>
      <protection/>
    </xf>
    <xf numFmtId="190" fontId="1" fillId="0" borderId="15" xfId="0" applyNumberFormat="1" applyFont="1" applyBorder="1" applyAlignment="1" applyProtection="1">
      <alignment vertical="center"/>
      <protection/>
    </xf>
    <xf numFmtId="190" fontId="1" fillId="0" borderId="13" xfId="0" applyNumberFormat="1" applyFont="1" applyBorder="1" applyAlignment="1" applyProtection="1">
      <alignment vertical="center"/>
      <protection/>
    </xf>
    <xf numFmtId="190" fontId="1" fillId="0" borderId="10" xfId="0" applyNumberFormat="1" applyFont="1" applyBorder="1" applyAlignment="1" applyProtection="1">
      <alignment vertical="center"/>
      <protection/>
    </xf>
    <xf numFmtId="190" fontId="1" fillId="0" borderId="19" xfId="0" applyNumberFormat="1" applyFont="1" applyBorder="1" applyAlignment="1" applyProtection="1">
      <alignment vertical="center"/>
      <protection/>
    </xf>
    <xf numFmtId="190" fontId="1" fillId="0" borderId="14" xfId="0" applyNumberFormat="1" applyFont="1" applyBorder="1" applyAlignment="1" applyProtection="1">
      <alignment vertical="center"/>
      <protection/>
    </xf>
    <xf numFmtId="190" fontId="1" fillId="0" borderId="20" xfId="0" applyNumberFormat="1" applyFont="1" applyBorder="1" applyAlignment="1" applyProtection="1">
      <alignment vertical="center"/>
      <protection/>
    </xf>
    <xf numFmtId="190" fontId="7" fillId="0" borderId="10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vertical="center"/>
    </xf>
    <xf numFmtId="184" fontId="2" fillId="0" borderId="16" xfId="0" applyNumberFormat="1" applyFont="1" applyBorder="1" applyAlignment="1">
      <alignment vertical="center"/>
    </xf>
    <xf numFmtId="184" fontId="2" fillId="0" borderId="17" xfId="0" applyNumberFormat="1" applyFont="1" applyBorder="1" applyAlignment="1">
      <alignment vertical="center"/>
    </xf>
    <xf numFmtId="184" fontId="2" fillId="0" borderId="18" xfId="0" applyNumberFormat="1" applyFont="1" applyBorder="1" applyAlignment="1">
      <alignment vertical="center"/>
    </xf>
    <xf numFmtId="184" fontId="2" fillId="0" borderId="19" xfId="0" applyNumberFormat="1" applyFont="1" applyBorder="1" applyAlignment="1" applyProtection="1">
      <alignment horizontal="right" vertical="center"/>
      <protection/>
    </xf>
    <xf numFmtId="184" fontId="2" fillId="0" borderId="14" xfId="0" applyNumberFormat="1" applyFont="1" applyBorder="1" applyAlignment="1" applyProtection="1">
      <alignment horizontal="right" vertical="center"/>
      <protection/>
    </xf>
    <xf numFmtId="186" fontId="2" fillId="0" borderId="16" xfId="0" applyNumberFormat="1" applyFont="1" applyBorder="1" applyAlignment="1">
      <alignment horizontal="center" vertical="center"/>
    </xf>
    <xf numFmtId="186" fontId="2" fillId="0" borderId="1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90" fontId="0" fillId="0" borderId="23" xfId="0" applyNumberFormat="1" applyBorder="1" applyAlignment="1">
      <alignment vertical="center"/>
    </xf>
    <xf numFmtId="0" fontId="1" fillId="0" borderId="0" xfId="0" applyFont="1" applyAlignment="1">
      <alignment horizontal="centerContinuous" vertical="center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184" fontId="7" fillId="0" borderId="13" xfId="0" applyNumberFormat="1" applyFont="1" applyBorder="1" applyAlignment="1">
      <alignment vertical="center"/>
    </xf>
    <xf numFmtId="186" fontId="7" fillId="0" borderId="10" xfId="59" applyNumberFormat="1" applyFont="1" applyBorder="1" applyAlignment="1">
      <alignment vertical="center"/>
    </xf>
    <xf numFmtId="184" fontId="7" fillId="0" borderId="14" xfId="0" applyNumberFormat="1" applyFont="1" applyBorder="1" applyAlignment="1">
      <alignment vertical="center"/>
    </xf>
    <xf numFmtId="186" fontId="7" fillId="0" borderId="20" xfId="59" applyNumberFormat="1" applyFont="1" applyBorder="1" applyAlignment="1">
      <alignment vertical="center"/>
    </xf>
    <xf numFmtId="184" fontId="7" fillId="0" borderId="25" xfId="0" applyNumberFormat="1" applyFont="1" applyBorder="1" applyAlignment="1">
      <alignment vertical="center"/>
    </xf>
    <xf numFmtId="185" fontId="7" fillId="0" borderId="25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vertical="center"/>
    </xf>
    <xf numFmtId="184" fontId="1" fillId="0" borderId="13" xfId="0" applyNumberFormat="1" applyFont="1" applyBorder="1" applyAlignment="1">
      <alignment vertical="center"/>
    </xf>
    <xf numFmtId="185" fontId="1" fillId="0" borderId="13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86" fontId="1" fillId="0" borderId="10" xfId="59" applyNumberFormat="1" applyFont="1" applyBorder="1" applyAlignment="1">
      <alignment vertical="center"/>
    </xf>
    <xf numFmtId="184" fontId="1" fillId="0" borderId="14" xfId="0" applyNumberFormat="1" applyFont="1" applyBorder="1" applyAlignment="1">
      <alignment vertical="center"/>
    </xf>
    <xf numFmtId="185" fontId="1" fillId="0" borderId="14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vertical="center"/>
    </xf>
    <xf numFmtId="186" fontId="1" fillId="0" borderId="20" xfId="59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7" fillId="0" borderId="26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185" fontId="7" fillId="0" borderId="0" xfId="0" applyNumberFormat="1" applyFont="1" applyBorder="1" applyAlignment="1">
      <alignment horizontal="center" vertical="center"/>
    </xf>
    <xf numFmtId="186" fontId="7" fillId="0" borderId="0" xfId="59" applyNumberFormat="1" applyFont="1" applyBorder="1" applyAlignment="1">
      <alignment vertical="center"/>
    </xf>
    <xf numFmtId="186" fontId="7" fillId="0" borderId="10" xfId="0" applyNumberFormat="1" applyFont="1" applyBorder="1" applyAlignment="1">
      <alignment vertical="center"/>
    </xf>
    <xf numFmtId="190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187" fontId="0" fillId="0" borderId="0" xfId="0" applyNumberFormat="1" applyFont="1" applyFill="1" applyBorder="1" applyAlignment="1" applyProtection="1">
      <alignment horizontal="center" vertical="center"/>
      <protection/>
    </xf>
    <xf numFmtId="190" fontId="0" fillId="0" borderId="27" xfId="0" applyNumberFormat="1" applyBorder="1" applyAlignment="1">
      <alignment vertical="center"/>
    </xf>
    <xf numFmtId="2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185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190" fontId="7" fillId="0" borderId="31" xfId="0" applyNumberFormat="1" applyFont="1" applyBorder="1" applyAlignment="1" applyProtection="1">
      <alignment vertical="center"/>
      <protection/>
    </xf>
    <xf numFmtId="190" fontId="1" fillId="0" borderId="32" xfId="0" applyNumberFormat="1" applyFont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4" fontId="0" fillId="0" borderId="18" xfId="0" applyNumberFormat="1" applyBorder="1" applyAlignment="1">
      <alignment horizontal="center" vertical="center"/>
    </xf>
    <xf numFmtId="190" fontId="1" fillId="0" borderId="15" xfId="0" applyNumberFormat="1" applyFont="1" applyBorder="1" applyAlignment="1" applyProtection="1">
      <alignment horizontal="right" vertical="center"/>
      <protection/>
    </xf>
    <xf numFmtId="190" fontId="7" fillId="0" borderId="33" xfId="0" applyNumberFormat="1" applyFont="1" applyBorder="1" applyAlignment="1" applyProtection="1">
      <alignment vertical="center"/>
      <protection/>
    </xf>
    <xf numFmtId="190" fontId="7" fillId="0" borderId="34" xfId="0" applyNumberFormat="1" applyFont="1" applyBorder="1" applyAlignment="1" applyProtection="1">
      <alignment vertical="center"/>
      <protection/>
    </xf>
    <xf numFmtId="184" fontId="2" fillId="0" borderId="20" xfId="0" applyNumberFormat="1" applyFont="1" applyBorder="1" applyAlignment="1" applyProtection="1">
      <alignment horizontal="right" vertical="center"/>
      <protection/>
    </xf>
    <xf numFmtId="186" fontId="2" fillId="0" borderId="0" xfId="0" applyNumberFormat="1" applyFont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91" fontId="0" fillId="0" borderId="0" xfId="0" applyNumberFormat="1" applyFill="1" applyBorder="1" applyAlignment="1">
      <alignment horizontal="center" vertical="center" wrapText="1"/>
    </xf>
    <xf numFmtId="191" fontId="0" fillId="0" borderId="15" xfId="0" applyNumberFormat="1" applyFill="1" applyBorder="1" applyAlignment="1">
      <alignment horizontal="center" vertical="center" wrapText="1"/>
    </xf>
    <xf numFmtId="193" fontId="0" fillId="0" borderId="12" xfId="0" applyNumberFormat="1" applyFill="1" applyBorder="1" applyAlignment="1">
      <alignment horizontal="center" vertical="center" wrapText="1"/>
    </xf>
    <xf numFmtId="194" fontId="0" fillId="0" borderId="23" xfId="0" applyNumberFormat="1" applyFill="1" applyBorder="1" applyAlignment="1">
      <alignment horizontal="center" vertical="center" wrapText="1"/>
    </xf>
    <xf numFmtId="191" fontId="0" fillId="0" borderId="19" xfId="0" applyNumberFormat="1" applyFill="1" applyBorder="1" applyAlignment="1">
      <alignment horizontal="center" vertical="center" wrapText="1"/>
    </xf>
    <xf numFmtId="195" fontId="0" fillId="0" borderId="15" xfId="0" applyNumberFormat="1" applyFill="1" applyBorder="1" applyAlignment="1">
      <alignment horizontal="center" vertical="center" wrapText="1"/>
    </xf>
    <xf numFmtId="195" fontId="0" fillId="0" borderId="12" xfId="0" applyNumberFormat="1" applyFill="1" applyBorder="1" applyAlignment="1">
      <alignment horizontal="center" vertical="center" wrapText="1"/>
    </xf>
    <xf numFmtId="195" fontId="0" fillId="0" borderId="23" xfId="0" applyNumberFormat="1" applyFill="1" applyBorder="1" applyAlignment="1">
      <alignment horizontal="center" vertical="center" wrapText="1"/>
    </xf>
    <xf numFmtId="193" fontId="0" fillId="0" borderId="15" xfId="0" applyNumberForma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186" fontId="2" fillId="0" borderId="18" xfId="0" applyNumberFormat="1" applyFont="1" applyBorder="1" applyAlignment="1">
      <alignment horizontal="center" vertical="center"/>
    </xf>
    <xf numFmtId="186" fontId="2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90" fontId="7" fillId="0" borderId="36" xfId="0" applyNumberFormat="1" applyFont="1" applyBorder="1" applyAlignment="1" applyProtection="1">
      <alignment vertical="center"/>
      <protection/>
    </xf>
    <xf numFmtId="190" fontId="1" fillId="0" borderId="31" xfId="0" applyNumberFormat="1" applyFont="1" applyBorder="1" applyAlignment="1" applyProtection="1">
      <alignment vertical="center"/>
      <protection/>
    </xf>
    <xf numFmtId="0" fontId="1" fillId="0" borderId="3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90" fontId="0" fillId="0" borderId="38" xfId="0" applyNumberFormat="1" applyBorder="1" applyAlignment="1">
      <alignment vertical="center"/>
    </xf>
    <xf numFmtId="186" fontId="0" fillId="0" borderId="0" xfId="0" applyNumberFormat="1" applyAlignment="1">
      <alignment vertical="center"/>
    </xf>
    <xf numFmtId="184" fontId="2" fillId="0" borderId="36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 horizontal="center"/>
    </xf>
    <xf numFmtId="184" fontId="2" fillId="0" borderId="10" xfId="0" applyNumberFormat="1" applyFon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184" fontId="0" fillId="0" borderId="20" xfId="0" applyNumberFormat="1" applyBorder="1" applyAlignment="1">
      <alignment horizontal="center" vertical="center"/>
    </xf>
    <xf numFmtId="185" fontId="2" fillId="0" borderId="29" xfId="0" applyNumberFormat="1" applyFont="1" applyBorder="1" applyAlignment="1">
      <alignment horizontal="center" vertical="center"/>
    </xf>
    <xf numFmtId="185" fontId="0" fillId="0" borderId="29" xfId="0" applyNumberFormat="1" applyFont="1" applyBorder="1" applyAlignment="1">
      <alignment horizontal="center" vertical="center"/>
    </xf>
    <xf numFmtId="185" fontId="0" fillId="0" borderId="30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0" fontId="0" fillId="0" borderId="4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185" fontId="0" fillId="0" borderId="31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85" fontId="0" fillId="0" borderId="34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1" xfId="0" applyBorder="1" applyAlignment="1">
      <alignment horizontal="center"/>
    </xf>
    <xf numFmtId="185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195" fontId="0" fillId="0" borderId="44" xfId="0" applyNumberFormat="1" applyFill="1" applyBorder="1" applyAlignment="1">
      <alignment horizontal="center" vertical="center" wrapText="1"/>
    </xf>
    <xf numFmtId="195" fontId="0" fillId="0" borderId="41" xfId="0" applyNumberFormat="1" applyFill="1" applyBorder="1" applyAlignment="1">
      <alignment horizontal="center" vertical="center" wrapText="1"/>
    </xf>
    <xf numFmtId="195" fontId="0" fillId="0" borderId="38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193" fontId="0" fillId="0" borderId="44" xfId="0" applyNumberFormat="1" applyFill="1" applyBorder="1" applyAlignment="1">
      <alignment horizontal="center" vertical="center" wrapText="1"/>
    </xf>
    <xf numFmtId="196" fontId="0" fillId="0" borderId="0" xfId="50" applyNumberFormat="1" applyFont="1" applyFill="1" applyBorder="1" applyAlignment="1">
      <alignment horizontal="center" vertical="center"/>
    </xf>
    <xf numFmtId="184" fontId="0" fillId="0" borderId="19" xfId="50" applyNumberFormat="1" applyFont="1" applyFill="1" applyBorder="1" applyAlignment="1">
      <alignment horizontal="center" vertical="center"/>
    </xf>
    <xf numFmtId="188" fontId="0" fillId="0" borderId="20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7" fillId="0" borderId="31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4" fontId="0" fillId="0" borderId="33" xfId="0" applyNumberFormat="1" applyBorder="1" applyAlignment="1">
      <alignment horizontal="center" vertical="center"/>
    </xf>
    <xf numFmtId="184" fontId="2" fillId="0" borderId="34" xfId="0" applyNumberFormat="1" applyFont="1" applyBorder="1" applyAlignment="1">
      <alignment horizontal="center" vertical="center"/>
    </xf>
    <xf numFmtId="184" fontId="0" fillId="0" borderId="34" xfId="0" applyNumberFormat="1" applyBorder="1" applyAlignment="1">
      <alignment horizontal="center" vertical="center"/>
    </xf>
    <xf numFmtId="184" fontId="0" fillId="0" borderId="46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93" fontId="0" fillId="0" borderId="22" xfId="0" applyNumberFormat="1" applyFill="1" applyBorder="1" applyAlignment="1">
      <alignment horizontal="center" vertical="center" wrapText="1"/>
    </xf>
    <xf numFmtId="194" fontId="0" fillId="0" borderId="47" xfId="0" applyNumberFormat="1" applyFill="1" applyBorder="1" applyAlignment="1">
      <alignment horizontal="center" vertical="center" wrapText="1"/>
    </xf>
    <xf numFmtId="193" fontId="0" fillId="0" borderId="13" xfId="0" applyNumberFormat="1" applyFill="1" applyBorder="1" applyAlignment="1">
      <alignment horizontal="center" vertical="center" wrapText="1"/>
    </xf>
    <xf numFmtId="194" fontId="0" fillId="0" borderId="10" xfId="0" applyNumberFormat="1" applyFill="1" applyBorder="1" applyAlignment="1">
      <alignment horizontal="center" vertical="center" wrapText="1"/>
    </xf>
    <xf numFmtId="193" fontId="0" fillId="0" borderId="14" xfId="0" applyNumberFormat="1" applyFill="1" applyBorder="1" applyAlignment="1">
      <alignment horizontal="center" vertical="center" wrapText="1"/>
    </xf>
    <xf numFmtId="194" fontId="0" fillId="0" borderId="20" xfId="0" applyNumberFormat="1" applyFill="1" applyBorder="1" applyAlignment="1">
      <alignment horizontal="center" vertical="center" wrapText="1"/>
    </xf>
    <xf numFmtId="188" fontId="0" fillId="0" borderId="10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88" fontId="0" fillId="0" borderId="13" xfId="0" applyNumberFormat="1" applyFill="1" applyBorder="1" applyAlignment="1">
      <alignment horizontal="center" vertical="center"/>
    </xf>
    <xf numFmtId="195" fontId="0" fillId="0" borderId="10" xfId="0" applyNumberFormat="1" applyFill="1" applyBorder="1" applyAlignment="1">
      <alignment horizontal="center" vertical="center" wrapText="1"/>
    </xf>
    <xf numFmtId="195" fontId="0" fillId="0" borderId="20" xfId="0" applyNumberFormat="1" applyFill="1" applyBorder="1" applyAlignment="1">
      <alignment horizontal="center" vertical="center" wrapText="1"/>
    </xf>
    <xf numFmtId="184" fontId="0" fillId="0" borderId="15" xfId="5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185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186" fontId="0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90" fontId="2" fillId="0" borderId="12" xfId="0" applyNumberFormat="1" applyFont="1" applyBorder="1" applyAlignment="1">
      <alignment horizontal="right" vertical="center"/>
    </xf>
    <xf numFmtId="190" fontId="2" fillId="0" borderId="10" xfId="0" applyNumberFormat="1" applyFont="1" applyBorder="1" applyAlignment="1">
      <alignment horizontal="right" vertical="center"/>
    </xf>
    <xf numFmtId="190" fontId="2" fillId="0" borderId="41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190" fontId="2" fillId="0" borderId="26" xfId="0" applyNumberFormat="1" applyFont="1" applyBorder="1" applyAlignment="1">
      <alignment horizontal="right" vertical="center"/>
    </xf>
    <xf numFmtId="190" fontId="1" fillId="0" borderId="31" xfId="0" applyNumberFormat="1" applyFont="1" applyBorder="1" applyAlignment="1" applyProtection="1">
      <alignment horizontal="right" vertical="center"/>
      <protection/>
    </xf>
    <xf numFmtId="190" fontId="7" fillId="0" borderId="31" xfId="0" applyNumberFormat="1" applyFont="1" applyBorder="1" applyAlignment="1">
      <alignment vertical="center"/>
    </xf>
    <xf numFmtId="190" fontId="1" fillId="0" borderId="31" xfId="0" applyNumberFormat="1" applyFont="1" applyBorder="1" applyAlignment="1" applyProtection="1">
      <alignment vertical="center"/>
      <protection/>
    </xf>
    <xf numFmtId="0" fontId="7" fillId="0" borderId="13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4" fontId="0" fillId="0" borderId="36" xfId="0" applyNumberFormat="1" applyBorder="1" applyAlignment="1">
      <alignment horizontal="center" vertical="center"/>
    </xf>
    <xf numFmtId="184" fontId="2" fillId="0" borderId="31" xfId="0" applyNumberFormat="1" applyFont="1" applyBorder="1" applyAlignment="1">
      <alignment horizontal="center" vertical="center"/>
    </xf>
    <xf numFmtId="184" fontId="0" fillId="0" borderId="31" xfId="0" applyNumberFormat="1" applyBorder="1" applyAlignment="1">
      <alignment horizontal="center" vertical="center"/>
    </xf>
    <xf numFmtId="184" fontId="0" fillId="0" borderId="32" xfId="0" applyNumberForma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5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86" fontId="0" fillId="0" borderId="32" xfId="0" applyNumberFormat="1" applyFont="1" applyBorder="1" applyAlignment="1">
      <alignment vertical="center"/>
    </xf>
    <xf numFmtId="9" fontId="0" fillId="0" borderId="0" xfId="0" applyNumberFormat="1" applyAlignment="1">
      <alignment/>
    </xf>
    <xf numFmtId="184" fontId="0" fillId="0" borderId="0" xfId="0" applyNumberFormat="1" applyAlignment="1">
      <alignment vertical="center"/>
    </xf>
    <xf numFmtId="190" fontId="2" fillId="0" borderId="44" xfId="0" applyNumberFormat="1" applyFont="1" applyBorder="1" applyAlignment="1">
      <alignment horizontal="right" vertical="center"/>
    </xf>
    <xf numFmtId="190" fontId="2" fillId="0" borderId="5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52" xfId="0" applyNumberFormat="1" applyFont="1" applyBorder="1" applyAlignment="1">
      <alignment horizontal="right" vertical="center"/>
    </xf>
    <xf numFmtId="190" fontId="2" fillId="0" borderId="53" xfId="0" applyNumberFormat="1" applyFont="1" applyBorder="1" applyAlignment="1">
      <alignment horizontal="right" vertical="center"/>
    </xf>
    <xf numFmtId="190" fontId="2" fillId="0" borderId="54" xfId="0" applyNumberFormat="1" applyFont="1" applyBorder="1" applyAlignment="1">
      <alignment horizontal="right" vertical="center"/>
    </xf>
    <xf numFmtId="190" fontId="2" fillId="0" borderId="13" xfId="0" applyNumberFormat="1" applyFont="1" applyBorder="1" applyAlignment="1">
      <alignment horizontal="right" vertical="center"/>
    </xf>
    <xf numFmtId="0" fontId="0" fillId="0" borderId="40" xfId="0" applyBorder="1" applyAlignment="1">
      <alignment horizontal="center"/>
    </xf>
    <xf numFmtId="10" fontId="2" fillId="0" borderId="0" xfId="59" applyNumberFormat="1" applyFont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184" fontId="2" fillId="0" borderId="32" xfId="0" applyNumberFormat="1" applyFont="1" applyBorder="1" applyAlignment="1" applyProtection="1">
      <alignment horizontal="right" vertical="center"/>
      <protection/>
    </xf>
    <xf numFmtId="191" fontId="0" fillId="0" borderId="44" xfId="0" applyNumberFormat="1" applyFill="1" applyBorder="1" applyAlignment="1">
      <alignment horizontal="center" vertical="center" wrapText="1"/>
    </xf>
    <xf numFmtId="193" fontId="0" fillId="0" borderId="41" xfId="0" applyNumberFormat="1" applyFill="1" applyBorder="1" applyAlignment="1">
      <alignment horizontal="center" vertical="center" wrapText="1"/>
    </xf>
    <xf numFmtId="194" fontId="0" fillId="0" borderId="38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190" fontId="3" fillId="0" borderId="13" xfId="0" applyNumberFormat="1" applyFont="1" applyBorder="1" applyAlignment="1">
      <alignment horizontal="right" vertical="center"/>
    </xf>
    <xf numFmtId="190" fontId="3" fillId="0" borderId="10" xfId="0" applyNumberFormat="1" applyFont="1" applyBorder="1" applyAlignment="1">
      <alignment horizontal="right" vertical="center"/>
    </xf>
    <xf numFmtId="190" fontId="3" fillId="0" borderId="42" xfId="0" applyNumberFormat="1" applyFont="1" applyBorder="1" applyAlignment="1">
      <alignment horizontal="right" vertical="center"/>
    </xf>
    <xf numFmtId="190" fontId="3" fillId="0" borderId="54" xfId="0" applyNumberFormat="1" applyFont="1" applyBorder="1" applyAlignment="1">
      <alignment horizontal="right" vertical="center"/>
    </xf>
    <xf numFmtId="190" fontId="3" fillId="0" borderId="14" xfId="0" applyNumberFormat="1" applyFont="1" applyBorder="1" applyAlignment="1">
      <alignment horizontal="right" vertical="center"/>
    </xf>
    <xf numFmtId="190" fontId="3" fillId="0" borderId="20" xfId="0" applyNumberFormat="1" applyFont="1" applyBorder="1" applyAlignment="1">
      <alignment horizontal="right" vertical="center"/>
    </xf>
    <xf numFmtId="185" fontId="8" fillId="0" borderId="40" xfId="0" applyNumberFormat="1" applyFont="1" applyBorder="1" applyAlignment="1">
      <alignment horizontal="center" vertical="center" wrapText="1"/>
    </xf>
    <xf numFmtId="185" fontId="4" fillId="0" borderId="31" xfId="0" applyNumberFormat="1" applyFont="1" applyBorder="1" applyAlignment="1">
      <alignment horizontal="center" vertical="center" wrapText="1"/>
    </xf>
    <xf numFmtId="185" fontId="8" fillId="0" borderId="31" xfId="0" applyNumberFormat="1" applyFont="1" applyBorder="1" applyAlignment="1">
      <alignment horizontal="center" vertical="center" wrapText="1"/>
    </xf>
    <xf numFmtId="185" fontId="8" fillId="0" borderId="43" xfId="0" applyNumberFormat="1" applyFont="1" applyBorder="1" applyAlignment="1">
      <alignment horizontal="center" vertical="center" wrapText="1"/>
    </xf>
    <xf numFmtId="186" fontId="0" fillId="0" borderId="0" xfId="0" applyNumberFormat="1" applyAlignment="1">
      <alignment/>
    </xf>
    <xf numFmtId="188" fontId="0" fillId="0" borderId="0" xfId="0" applyNumberFormat="1" applyFill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193" fontId="0" fillId="0" borderId="42" xfId="0" applyNumberFormat="1" applyFill="1" applyBorder="1" applyAlignment="1">
      <alignment horizontal="center" vertical="center" wrapText="1"/>
    </xf>
    <xf numFmtId="194" fontId="0" fillId="0" borderId="54" xfId="0" applyNumberFormat="1" applyFill="1" applyBorder="1" applyAlignment="1">
      <alignment horizontal="center" vertical="center" wrapText="1"/>
    </xf>
    <xf numFmtId="0" fontId="1" fillId="32" borderId="56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right" vertical="center"/>
    </xf>
    <xf numFmtId="0" fontId="2" fillId="32" borderId="14" xfId="0" applyFont="1" applyFill="1" applyBorder="1" applyAlignment="1">
      <alignment horizontal="right" vertical="center"/>
    </xf>
    <xf numFmtId="184" fontId="2" fillId="0" borderId="26" xfId="0" applyNumberFormat="1" applyFont="1" applyBorder="1" applyAlignment="1">
      <alignment horizontal="center" vertical="center"/>
    </xf>
    <xf numFmtId="184" fontId="2" fillId="0" borderId="11" xfId="0" applyNumberFormat="1" applyFont="1" applyBorder="1" applyAlignment="1" applyProtection="1">
      <alignment horizontal="center" vertical="center"/>
      <protection/>
    </xf>
    <xf numFmtId="184" fontId="2" fillId="0" borderId="12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 applyProtection="1">
      <alignment horizontal="center" vertical="center"/>
      <protection/>
    </xf>
    <xf numFmtId="184" fontId="2" fillId="0" borderId="22" xfId="0" applyNumberFormat="1" applyFont="1" applyBorder="1" applyAlignment="1">
      <alignment horizontal="center" vertical="center"/>
    </xf>
    <xf numFmtId="184" fontId="2" fillId="0" borderId="20" xfId="0" applyNumberFormat="1" applyFont="1" applyBorder="1" applyAlignment="1" applyProtection="1">
      <alignment horizontal="center" vertical="center"/>
      <protection/>
    </xf>
    <xf numFmtId="0" fontId="2" fillId="32" borderId="57" xfId="0" applyFont="1" applyFill="1" applyBorder="1" applyAlignment="1">
      <alignment horizontal="center" vertical="center"/>
    </xf>
    <xf numFmtId="0" fontId="2" fillId="32" borderId="58" xfId="0" applyFont="1" applyFill="1" applyBorder="1" applyAlignment="1">
      <alignment horizontal="center" vertical="center"/>
    </xf>
    <xf numFmtId="0" fontId="2" fillId="32" borderId="59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vertical="center"/>
    </xf>
    <xf numFmtId="0" fontId="2" fillId="33" borderId="46" xfId="0" applyFont="1" applyFill="1" applyBorder="1" applyAlignment="1">
      <alignment vertical="center"/>
    </xf>
    <xf numFmtId="0" fontId="2" fillId="32" borderId="61" xfId="0" applyFont="1" applyFill="1" applyBorder="1" applyAlignment="1">
      <alignment horizontal="center" vertical="center"/>
    </xf>
    <xf numFmtId="0" fontId="2" fillId="32" borderId="56" xfId="0" applyFont="1" applyFill="1" applyBorder="1" applyAlignment="1">
      <alignment horizontal="center" vertical="center"/>
    </xf>
    <xf numFmtId="0" fontId="2" fillId="32" borderId="62" xfId="0" applyFont="1" applyFill="1" applyBorder="1" applyAlignment="1">
      <alignment horizontal="center" vertical="center"/>
    </xf>
    <xf numFmtId="0" fontId="2" fillId="32" borderId="63" xfId="0" applyFont="1" applyFill="1" applyBorder="1" applyAlignment="1">
      <alignment horizontal="center" vertical="center"/>
    </xf>
    <xf numFmtId="0" fontId="2" fillId="32" borderId="57" xfId="0" applyFont="1" applyFill="1" applyBorder="1" applyAlignment="1">
      <alignment horizontal="center"/>
    </xf>
    <xf numFmtId="2" fontId="2" fillId="32" borderId="57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" fillId="32" borderId="65" xfId="0" applyFont="1" applyFill="1" applyBorder="1" applyAlignment="1">
      <alignment horizontal="center" vertical="center"/>
    </xf>
    <xf numFmtId="0" fontId="1" fillId="32" borderId="63" xfId="0" applyFont="1" applyFill="1" applyBorder="1" applyAlignment="1">
      <alignment horizontal="center" vertical="center" wrapText="1"/>
    </xf>
    <xf numFmtId="0" fontId="1" fillId="32" borderId="59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vertical="center"/>
    </xf>
    <xf numFmtId="0" fontId="1" fillId="33" borderId="29" xfId="0" applyFont="1" applyFill="1" applyBorder="1" applyAlignment="1">
      <alignment vertical="center"/>
    </xf>
    <xf numFmtId="0" fontId="1" fillId="33" borderId="30" xfId="0" applyFont="1" applyFill="1" applyBorder="1" applyAlignment="1">
      <alignment vertical="center"/>
    </xf>
    <xf numFmtId="0" fontId="1" fillId="33" borderId="28" xfId="0" applyFont="1" applyFill="1" applyBorder="1" applyAlignment="1">
      <alignment vertical="center"/>
    </xf>
    <xf numFmtId="0" fontId="1" fillId="32" borderId="65" xfId="0" applyFont="1" applyFill="1" applyBorder="1" applyAlignment="1" applyProtection="1">
      <alignment horizontal="center" vertical="center"/>
      <protection/>
    </xf>
    <xf numFmtId="0" fontId="1" fillId="32" borderId="66" xfId="0" applyFont="1" applyFill="1" applyBorder="1" applyAlignment="1" applyProtection="1">
      <alignment horizontal="center" vertical="center"/>
      <protection/>
    </xf>
    <xf numFmtId="0" fontId="1" fillId="32" borderId="55" xfId="0" applyFont="1" applyFill="1" applyBorder="1" applyAlignment="1" applyProtection="1">
      <alignment horizontal="center" vertical="center"/>
      <protection/>
    </xf>
    <xf numFmtId="0" fontId="1" fillId="32" borderId="67" xfId="0" applyFont="1" applyFill="1" applyBorder="1" applyAlignment="1" applyProtection="1">
      <alignment horizontal="center" vertical="center"/>
      <protection/>
    </xf>
    <xf numFmtId="0" fontId="1" fillId="32" borderId="59" xfId="0" applyFont="1" applyFill="1" applyBorder="1" applyAlignment="1" applyProtection="1">
      <alignment horizontal="center" vertical="center"/>
      <protection/>
    </xf>
    <xf numFmtId="0" fontId="1" fillId="33" borderId="33" xfId="0" applyFont="1" applyFill="1" applyBorder="1" applyAlignment="1" applyProtection="1">
      <alignment horizontal="left" vertical="center"/>
      <protection/>
    </xf>
    <xf numFmtId="0" fontId="1" fillId="33" borderId="34" xfId="0" applyFont="1" applyFill="1" applyBorder="1" applyAlignment="1" applyProtection="1">
      <alignment horizontal="left" vertical="center"/>
      <protection/>
    </xf>
    <xf numFmtId="0" fontId="1" fillId="33" borderId="34" xfId="0" applyFont="1" applyFill="1" applyBorder="1" applyAlignment="1" applyProtection="1">
      <alignment horizontal="left" vertical="center"/>
      <protection/>
    </xf>
    <xf numFmtId="0" fontId="1" fillId="33" borderId="46" xfId="0" applyFont="1" applyFill="1" applyBorder="1" applyAlignment="1" applyProtection="1">
      <alignment horizontal="left" vertical="center"/>
      <protection/>
    </xf>
    <xf numFmtId="0" fontId="1" fillId="33" borderId="34" xfId="0" applyFont="1" applyFill="1" applyBorder="1" applyAlignment="1">
      <alignment vertical="center"/>
    </xf>
    <xf numFmtId="0" fontId="1" fillId="32" borderId="57" xfId="0" applyFont="1" applyFill="1" applyBorder="1" applyAlignment="1" applyProtection="1">
      <alignment horizontal="center" vertical="center"/>
      <protection/>
    </xf>
    <xf numFmtId="0" fontId="1" fillId="32" borderId="58" xfId="0" applyFont="1" applyFill="1" applyBorder="1" applyAlignment="1" applyProtection="1">
      <alignment horizontal="center" vertical="center"/>
      <protection/>
    </xf>
    <xf numFmtId="0" fontId="1" fillId="32" borderId="68" xfId="0" applyFont="1" applyFill="1" applyBorder="1" applyAlignment="1" applyProtection="1">
      <alignment horizontal="center" vertical="center"/>
      <protection/>
    </xf>
    <xf numFmtId="0" fontId="4" fillId="32" borderId="69" xfId="0" applyFont="1" applyFill="1" applyBorder="1" applyAlignment="1">
      <alignment horizontal="center" vertical="center" wrapText="1"/>
    </xf>
    <xf numFmtId="1" fontId="4" fillId="32" borderId="64" xfId="0" applyNumberFormat="1" applyFont="1" applyFill="1" applyBorder="1" applyAlignment="1">
      <alignment horizontal="center" vertical="center" wrapText="1"/>
    </xf>
    <xf numFmtId="1" fontId="4" fillId="32" borderId="32" xfId="0" applyNumberFormat="1" applyFont="1" applyFill="1" applyBorder="1" applyAlignment="1">
      <alignment horizontal="center" vertical="center" wrapText="1"/>
    </xf>
    <xf numFmtId="1" fontId="4" fillId="32" borderId="20" xfId="0" applyNumberFormat="1" applyFont="1" applyFill="1" applyBorder="1" applyAlignment="1">
      <alignment horizontal="center" vertical="center" wrapText="1"/>
    </xf>
    <xf numFmtId="0" fontId="4" fillId="32" borderId="47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left" vertical="center" wrapText="1"/>
    </xf>
    <xf numFmtId="0" fontId="8" fillId="33" borderId="46" xfId="0" applyFont="1" applyFill="1" applyBorder="1" applyAlignment="1">
      <alignment vertical="center" wrapText="1"/>
    </xf>
    <xf numFmtId="0" fontId="8" fillId="33" borderId="28" xfId="0" applyFont="1" applyFill="1" applyBorder="1" applyAlignment="1">
      <alignment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vertical="center" wrapText="1"/>
    </xf>
    <xf numFmtId="0" fontId="8" fillId="33" borderId="29" xfId="0" applyFont="1" applyFill="1" applyBorder="1" applyAlignment="1">
      <alignment horizontal="left" vertical="center" wrapText="1"/>
    </xf>
    <xf numFmtId="0" fontId="8" fillId="33" borderId="39" xfId="0" applyFont="1" applyFill="1" applyBorder="1" applyAlignment="1">
      <alignment vertical="center" wrapText="1"/>
    </xf>
    <xf numFmtId="0" fontId="4" fillId="33" borderId="57" xfId="0" applyFont="1" applyFill="1" applyBorder="1" applyAlignment="1">
      <alignment horizontal="center" vertical="center" wrapText="1"/>
    </xf>
    <xf numFmtId="1" fontId="4" fillId="32" borderId="14" xfId="0" applyNumberFormat="1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/>
    </xf>
    <xf numFmtId="0" fontId="2" fillId="33" borderId="28" xfId="0" applyFont="1" applyFill="1" applyBorder="1" applyAlignment="1">
      <alignment vertical="center" wrapText="1"/>
    </xf>
    <xf numFmtId="0" fontId="2" fillId="33" borderId="29" xfId="0" applyFont="1" applyFill="1" applyBorder="1" applyAlignment="1">
      <alignment vertical="center" wrapText="1"/>
    </xf>
    <xf numFmtId="0" fontId="2" fillId="33" borderId="39" xfId="0" applyFont="1" applyFill="1" applyBorder="1" applyAlignment="1">
      <alignment vertical="center" wrapText="1"/>
    </xf>
    <xf numFmtId="0" fontId="2" fillId="33" borderId="30" xfId="0" applyFont="1" applyFill="1" applyBorder="1" applyAlignment="1">
      <alignment vertical="center" wrapText="1"/>
    </xf>
    <xf numFmtId="0" fontId="2" fillId="32" borderId="14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2" fillId="32" borderId="41" xfId="0" applyFont="1" applyFill="1" applyBorder="1" applyAlignment="1">
      <alignment horizontal="center"/>
    </xf>
    <xf numFmtId="0" fontId="0" fillId="0" borderId="21" xfId="0" applyBorder="1" applyAlignment="1">
      <alignment/>
    </xf>
    <xf numFmtId="185" fontId="0" fillId="0" borderId="26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85" fontId="0" fillId="0" borderId="12" xfId="0" applyNumberFormat="1" applyFont="1" applyBorder="1" applyAlignment="1">
      <alignment horizontal="center" vertical="center" wrapText="1"/>
    </xf>
    <xf numFmtId="0" fontId="2" fillId="33" borderId="33" xfId="0" applyFont="1" applyFill="1" applyBorder="1" applyAlignment="1">
      <alignment vertical="center"/>
    </xf>
    <xf numFmtId="0" fontId="2" fillId="33" borderId="34" xfId="0" applyFont="1" applyFill="1" applyBorder="1" applyAlignment="1">
      <alignment vertical="center"/>
    </xf>
    <xf numFmtId="0" fontId="1" fillId="32" borderId="62" xfId="0" applyFont="1" applyFill="1" applyBorder="1" applyAlignment="1" applyProtection="1">
      <alignment horizontal="center" vertical="center"/>
      <protection/>
    </xf>
    <xf numFmtId="0" fontId="7" fillId="0" borderId="70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184" fontId="7" fillId="0" borderId="42" xfId="0" applyNumberFormat="1" applyFont="1" applyBorder="1" applyAlignment="1">
      <alignment vertical="center"/>
    </xf>
    <xf numFmtId="185" fontId="7" fillId="0" borderId="42" xfId="0" applyNumberFormat="1" applyFont="1" applyBorder="1" applyAlignment="1">
      <alignment horizontal="center" vertical="center"/>
    </xf>
    <xf numFmtId="3" fontId="7" fillId="0" borderId="42" xfId="0" applyNumberFormat="1" applyFont="1" applyBorder="1" applyAlignment="1">
      <alignment vertical="center"/>
    </xf>
    <xf numFmtId="186" fontId="7" fillId="0" borderId="54" xfId="59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" fillId="33" borderId="64" xfId="0" applyFont="1" applyFill="1" applyBorder="1" applyAlignment="1">
      <alignment vertical="center"/>
    </xf>
    <xf numFmtId="0" fontId="1" fillId="33" borderId="34" xfId="0" applyFont="1" applyFill="1" applyBorder="1" applyAlignment="1">
      <alignment vertical="center"/>
    </xf>
    <xf numFmtId="3" fontId="7" fillId="0" borderId="44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0" fontId="7" fillId="33" borderId="70" xfId="0" applyFont="1" applyFill="1" applyBorder="1" applyAlignment="1">
      <alignment vertical="center"/>
    </xf>
    <xf numFmtId="185" fontId="7" fillId="0" borderId="13" xfId="0" applyNumberFormat="1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190" fontId="0" fillId="0" borderId="30" xfId="0" applyNumberFormat="1" applyBorder="1" applyAlignment="1">
      <alignment vertical="center"/>
    </xf>
    <xf numFmtId="186" fontId="0" fillId="0" borderId="0" xfId="59" applyNumberFormat="1" applyFont="1" applyAlignment="1">
      <alignment vertical="center"/>
    </xf>
    <xf numFmtId="184" fontId="0" fillId="0" borderId="35" xfId="0" applyNumberFormat="1" applyBorder="1" applyAlignment="1">
      <alignment vertical="center"/>
    </xf>
    <xf numFmtId="184" fontId="0" fillId="0" borderId="29" xfId="0" applyNumberFormat="1" applyBorder="1" applyAlignment="1">
      <alignment vertical="center"/>
    </xf>
    <xf numFmtId="184" fontId="0" fillId="0" borderId="30" xfId="0" applyNumberFormat="1" applyBorder="1" applyAlignment="1">
      <alignment vertical="center"/>
    </xf>
    <xf numFmtId="188" fontId="0" fillId="0" borderId="15" xfId="0" applyNumberFormat="1" applyFill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184" fontId="2" fillId="0" borderId="13" xfId="0" applyNumberFormat="1" applyFont="1" applyBorder="1" applyAlignment="1">
      <alignment horizontal="center" vertical="center"/>
    </xf>
    <xf numFmtId="184" fontId="0" fillId="0" borderId="13" xfId="0" applyNumberFormat="1" applyBorder="1" applyAlignment="1">
      <alignment horizontal="center" vertical="center"/>
    </xf>
    <xf numFmtId="184" fontId="0" fillId="0" borderId="14" xfId="0" applyNumberFormat="1" applyBorder="1" applyAlignment="1">
      <alignment horizontal="center" vertical="center"/>
    </xf>
    <xf numFmtId="0" fontId="0" fillId="0" borderId="25" xfId="0" applyBorder="1" applyAlignment="1">
      <alignment horizontal="center"/>
    </xf>
    <xf numFmtId="185" fontId="0" fillId="0" borderId="11" xfId="0" applyNumberFormat="1" applyBorder="1" applyAlignment="1">
      <alignment horizontal="center"/>
    </xf>
    <xf numFmtId="190" fontId="0" fillId="0" borderId="39" xfId="0" applyNumberFormat="1" applyBorder="1" applyAlignment="1">
      <alignment vertical="center"/>
    </xf>
    <xf numFmtId="184" fontId="2" fillId="0" borderId="41" xfId="0" applyNumberFormat="1" applyFont="1" applyBorder="1" applyAlignment="1">
      <alignment horizontal="center" vertical="center"/>
    </xf>
    <xf numFmtId="184" fontId="2" fillId="0" borderId="54" xfId="0" applyNumberFormat="1" applyFont="1" applyBorder="1" applyAlignment="1" applyProtection="1">
      <alignment horizontal="center" vertical="center"/>
      <protection/>
    </xf>
    <xf numFmtId="185" fontId="0" fillId="0" borderId="25" xfId="0" applyNumberFormat="1" applyBorder="1" applyAlignment="1">
      <alignment horizontal="center"/>
    </xf>
    <xf numFmtId="190" fontId="0" fillId="0" borderId="29" xfId="0" applyNumberFormat="1" applyBorder="1" applyAlignment="1">
      <alignment vertical="center"/>
    </xf>
    <xf numFmtId="10" fontId="0" fillId="0" borderId="0" xfId="0" applyNumberFormat="1" applyAlignment="1">
      <alignment/>
    </xf>
    <xf numFmtId="188" fontId="0" fillId="0" borderId="19" xfId="0" applyNumberFormat="1" applyFill="1" applyBorder="1" applyAlignment="1">
      <alignment horizontal="center" vertical="center"/>
    </xf>
    <xf numFmtId="185" fontId="0" fillId="0" borderId="40" xfId="0" applyNumberFormat="1" applyBorder="1" applyAlignment="1">
      <alignment horizontal="center"/>
    </xf>
    <xf numFmtId="0" fontId="2" fillId="32" borderId="72" xfId="0" applyFont="1" applyFill="1" applyBorder="1" applyAlignment="1">
      <alignment horizontal="center"/>
    </xf>
    <xf numFmtId="0" fontId="0" fillId="0" borderId="73" xfId="0" applyFont="1" applyBorder="1" applyAlignment="1">
      <alignment vertical="center"/>
    </xf>
    <xf numFmtId="185" fontId="0" fillId="0" borderId="52" xfId="0" applyNumberFormat="1" applyFont="1" applyBorder="1" applyAlignment="1">
      <alignment horizontal="center" vertical="center" wrapText="1"/>
    </xf>
    <xf numFmtId="0" fontId="0" fillId="0" borderId="52" xfId="0" applyFont="1" applyBorder="1" applyAlignment="1">
      <alignment vertical="center"/>
    </xf>
    <xf numFmtId="186" fontId="0" fillId="0" borderId="72" xfId="0" applyNumberFormat="1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86" fontId="0" fillId="0" borderId="20" xfId="0" applyNumberFormat="1" applyFont="1" applyBorder="1" applyAlignment="1">
      <alignment vertical="center"/>
    </xf>
    <xf numFmtId="190" fontId="7" fillId="0" borderId="21" xfId="0" applyNumberFormat="1" applyFont="1" applyBorder="1" applyAlignment="1" applyProtection="1">
      <alignment vertical="center"/>
      <protection/>
    </xf>
    <xf numFmtId="190" fontId="7" fillId="0" borderId="12" xfId="0" applyNumberFormat="1" applyFont="1" applyBorder="1" applyAlignment="1" applyProtection="1">
      <alignment vertical="center"/>
      <protection/>
    </xf>
    <xf numFmtId="190" fontId="1" fillId="0" borderId="12" xfId="0" applyNumberFormat="1" applyFont="1" applyBorder="1" applyAlignment="1" applyProtection="1">
      <alignment horizontal="right" vertical="center"/>
      <protection/>
    </xf>
    <xf numFmtId="190" fontId="7" fillId="0" borderId="12" xfId="0" applyNumberFormat="1" applyFont="1" applyBorder="1" applyAlignment="1">
      <alignment vertical="center"/>
    </xf>
    <xf numFmtId="190" fontId="1" fillId="0" borderId="12" xfId="0" applyNumberFormat="1" applyFont="1" applyBorder="1" applyAlignment="1" applyProtection="1">
      <alignment vertical="center"/>
      <protection/>
    </xf>
    <xf numFmtId="0" fontId="1" fillId="33" borderId="35" xfId="0" applyFont="1" applyFill="1" applyBorder="1" applyAlignment="1" applyProtection="1">
      <alignment horizontal="left" vertical="center"/>
      <protection/>
    </xf>
    <xf numFmtId="0" fontId="1" fillId="33" borderId="29" xfId="0" applyFont="1" applyFill="1" applyBorder="1" applyAlignment="1" applyProtection="1">
      <alignment horizontal="left" vertical="center"/>
      <protection/>
    </xf>
    <xf numFmtId="0" fontId="1" fillId="33" borderId="29" xfId="0" applyFont="1" applyFill="1" applyBorder="1" applyAlignment="1" applyProtection="1">
      <alignment horizontal="left" vertical="center"/>
      <protection/>
    </xf>
    <xf numFmtId="0" fontId="1" fillId="33" borderId="30" xfId="0" applyFont="1" applyFill="1" applyBorder="1" applyAlignment="1" applyProtection="1">
      <alignment horizontal="left" vertical="center"/>
      <protection/>
    </xf>
    <xf numFmtId="190" fontId="7" fillId="0" borderId="12" xfId="0" applyNumberFormat="1" applyFont="1" applyBorder="1" applyAlignment="1" applyProtection="1">
      <alignment vertical="center"/>
      <protection/>
    </xf>
    <xf numFmtId="190" fontId="7" fillId="0" borderId="13" xfId="0" applyNumberFormat="1" applyFont="1" applyBorder="1" applyAlignment="1" applyProtection="1">
      <alignment vertical="center"/>
      <protection/>
    </xf>
    <xf numFmtId="10" fontId="0" fillId="0" borderId="0" xfId="59" applyNumberFormat="1" applyFont="1" applyAlignment="1">
      <alignment vertical="center"/>
    </xf>
    <xf numFmtId="0" fontId="2" fillId="0" borderId="44" xfId="0" applyFont="1" applyBorder="1" applyAlignment="1">
      <alignment horizontal="right" vertical="center"/>
    </xf>
    <xf numFmtId="184" fontId="2" fillId="0" borderId="52" xfId="0" applyNumberFormat="1" applyFont="1" applyBorder="1" applyAlignment="1">
      <alignment horizontal="center" vertical="center"/>
    </xf>
    <xf numFmtId="184" fontId="2" fillId="0" borderId="53" xfId="0" applyNumberFormat="1" applyFont="1" applyBorder="1" applyAlignment="1">
      <alignment horizontal="center" vertical="center"/>
    </xf>
    <xf numFmtId="184" fontId="2" fillId="0" borderId="72" xfId="0" applyNumberFormat="1" applyFont="1" applyBorder="1" applyAlignment="1">
      <alignment horizontal="center" vertical="center"/>
    </xf>
    <xf numFmtId="186" fontId="2" fillId="0" borderId="74" xfId="0" applyNumberFormat="1" applyFont="1" applyBorder="1" applyAlignment="1">
      <alignment horizontal="center" vertical="center"/>
    </xf>
    <xf numFmtId="186" fontId="2" fillId="0" borderId="68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88" fontId="0" fillId="0" borderId="44" xfId="0" applyNumberFormat="1" applyFill="1" applyBorder="1" applyAlignment="1">
      <alignment horizontal="center" vertical="center"/>
    </xf>
    <xf numFmtId="184" fontId="0" fillId="0" borderId="44" xfId="50" applyNumberFormat="1" applyFont="1" applyFill="1" applyBorder="1" applyAlignment="1">
      <alignment horizontal="center" vertical="center"/>
    </xf>
    <xf numFmtId="188" fontId="0" fillId="0" borderId="54" xfId="0" applyNumberFormat="1" applyFill="1" applyBorder="1" applyAlignment="1">
      <alignment horizontal="center" vertical="center"/>
    </xf>
    <xf numFmtId="193" fontId="0" fillId="0" borderId="19" xfId="0" applyNumberFormat="1" applyFill="1" applyBorder="1" applyAlignment="1">
      <alignment horizontal="center" vertical="center" wrapText="1"/>
    </xf>
    <xf numFmtId="195" fontId="0" fillId="0" borderId="47" xfId="0" applyNumberFormat="1" applyFill="1" applyBorder="1" applyAlignment="1">
      <alignment horizontal="center" vertical="center" wrapText="1"/>
    </xf>
    <xf numFmtId="0" fontId="4" fillId="32" borderId="46" xfId="0" applyFont="1" applyFill="1" applyBorder="1" applyAlignment="1">
      <alignment horizontal="center" vertical="center" wrapText="1"/>
    </xf>
    <xf numFmtId="0" fontId="1" fillId="32" borderId="75" xfId="0" applyFont="1" applyFill="1" applyBorder="1" applyAlignment="1" applyProtection="1">
      <alignment horizontal="center" vertical="center"/>
      <protection/>
    </xf>
    <xf numFmtId="0" fontId="1" fillId="32" borderId="76" xfId="0" applyFont="1" applyFill="1" applyBorder="1" applyAlignment="1" applyProtection="1">
      <alignment horizontal="center" vertical="center"/>
      <protection/>
    </xf>
    <xf numFmtId="0" fontId="1" fillId="32" borderId="48" xfId="0" applyFont="1" applyFill="1" applyBorder="1" applyAlignment="1" applyProtection="1">
      <alignment horizontal="center" vertical="center"/>
      <protection/>
    </xf>
    <xf numFmtId="0" fontId="1" fillId="32" borderId="49" xfId="0" applyFont="1" applyFill="1" applyBorder="1" applyAlignment="1" applyProtection="1">
      <alignment horizontal="center" vertical="center"/>
      <protection/>
    </xf>
    <xf numFmtId="0" fontId="1" fillId="32" borderId="45" xfId="0" applyFont="1" applyFill="1" applyBorder="1" applyAlignment="1" applyProtection="1">
      <alignment horizontal="center" vertical="center"/>
      <protection/>
    </xf>
    <xf numFmtId="0" fontId="7" fillId="0" borderId="37" xfId="0" applyFont="1" applyBorder="1" applyAlignment="1">
      <alignment vertical="center"/>
    </xf>
    <xf numFmtId="0" fontId="2" fillId="32" borderId="75" xfId="0" applyFont="1" applyFill="1" applyBorder="1" applyAlignment="1">
      <alignment horizontal="center" vertical="center"/>
    </xf>
    <xf numFmtId="185" fontId="8" fillId="0" borderId="11" xfId="0" applyNumberFormat="1" applyFont="1" applyBorder="1" applyAlignment="1">
      <alignment horizontal="center" vertical="center" wrapText="1"/>
    </xf>
    <xf numFmtId="185" fontId="8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185" fontId="8" fillId="0" borderId="54" xfId="0" applyNumberFormat="1" applyFont="1" applyBorder="1" applyAlignment="1">
      <alignment horizontal="center" vertical="center" wrapText="1"/>
    </xf>
    <xf numFmtId="0" fontId="2" fillId="32" borderId="77" xfId="0" applyFont="1" applyFill="1" applyBorder="1" applyAlignment="1">
      <alignment horizontal="center"/>
    </xf>
    <xf numFmtId="0" fontId="2" fillId="32" borderId="75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4" fontId="4" fillId="34" borderId="56" xfId="0" applyNumberFormat="1" applyFont="1" applyFill="1" applyBorder="1" applyAlignment="1">
      <alignment horizontal="center" vertical="center" wrapText="1"/>
    </xf>
    <xf numFmtId="4" fontId="4" fillId="34" borderId="62" xfId="0" applyNumberFormat="1" applyFont="1" applyFill="1" applyBorder="1" applyAlignment="1">
      <alignment horizontal="center" vertical="center" wrapText="1"/>
    </xf>
    <xf numFmtId="0" fontId="2" fillId="32" borderId="78" xfId="0" applyFont="1" applyFill="1" applyBorder="1" applyAlignment="1">
      <alignment horizontal="center"/>
    </xf>
    <xf numFmtId="0" fontId="0" fillId="32" borderId="65" xfId="0" applyFill="1" applyBorder="1" applyAlignment="1">
      <alignment vertical="center"/>
    </xf>
    <xf numFmtId="0" fontId="0" fillId="32" borderId="75" xfId="0" applyFill="1" applyBorder="1" applyAlignment="1">
      <alignment vertical="center"/>
    </xf>
    <xf numFmtId="0" fontId="0" fillId="32" borderId="78" xfId="0" applyFill="1" applyBorder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center" vertical="top" wrapText="1"/>
    </xf>
    <xf numFmtId="185" fontId="15" fillId="0" borderId="0" xfId="0" applyNumberFormat="1" applyFont="1" applyBorder="1" applyAlignment="1" applyProtection="1">
      <alignment/>
      <protection/>
    </xf>
    <xf numFmtId="207" fontId="17" fillId="34" borderId="0" xfId="0" applyNumberFormat="1" applyFont="1" applyFill="1" applyAlignment="1" applyProtection="1">
      <alignment/>
      <protection/>
    </xf>
    <xf numFmtId="0" fontId="0" fillId="0" borderId="0" xfId="0" applyFont="1" applyBorder="1" applyAlignment="1">
      <alignment/>
    </xf>
    <xf numFmtId="0" fontId="15" fillId="32" borderId="79" xfId="0" applyFont="1" applyFill="1" applyBorder="1" applyAlignment="1">
      <alignment horizontal="center"/>
    </xf>
    <xf numFmtId="0" fontId="15" fillId="32" borderId="80" xfId="0" applyFont="1" applyFill="1" applyBorder="1" applyAlignment="1">
      <alignment/>
    </xf>
    <xf numFmtId="184" fontId="15" fillId="0" borderId="81" xfId="0" applyNumberFormat="1" applyFont="1" applyBorder="1" applyAlignment="1" applyProtection="1">
      <alignment/>
      <protection/>
    </xf>
    <xf numFmtId="0" fontId="15" fillId="33" borderId="80" xfId="0" applyFont="1" applyFill="1" applyBorder="1" applyAlignment="1" applyProtection="1">
      <alignment horizontal="left"/>
      <protection/>
    </xf>
    <xf numFmtId="185" fontId="15" fillId="0" borderId="37" xfId="0" applyNumberFormat="1" applyFont="1" applyBorder="1" applyAlignment="1" applyProtection="1">
      <alignment/>
      <protection/>
    </xf>
    <xf numFmtId="185" fontId="15" fillId="33" borderId="70" xfId="0" applyNumberFormat="1" applyFont="1" applyFill="1" applyBorder="1" applyAlignment="1" applyProtection="1">
      <alignment horizontal="left"/>
      <protection/>
    </xf>
    <xf numFmtId="184" fontId="15" fillId="0" borderId="81" xfId="0" applyNumberFormat="1" applyFont="1" applyFill="1" applyBorder="1" applyAlignment="1" applyProtection="1">
      <alignment/>
      <protection/>
    </xf>
    <xf numFmtId="0" fontId="15" fillId="32" borderId="70" xfId="0" applyFont="1" applyFill="1" applyBorder="1" applyAlignment="1">
      <alignment/>
    </xf>
    <xf numFmtId="0" fontId="18" fillId="32" borderId="80" xfId="0" applyFont="1" applyFill="1" applyBorder="1" applyAlignment="1">
      <alignment horizontal="center"/>
    </xf>
    <xf numFmtId="184" fontId="15" fillId="0" borderId="82" xfId="0" applyNumberFormat="1" applyFont="1" applyBorder="1" applyAlignment="1" applyProtection="1">
      <alignment/>
      <protection/>
    </xf>
    <xf numFmtId="185" fontId="15" fillId="0" borderId="24" xfId="0" applyNumberFormat="1" applyFont="1" applyBorder="1" applyAlignment="1" applyProtection="1">
      <alignment horizontal="center"/>
      <protection/>
    </xf>
    <xf numFmtId="184" fontId="15" fillId="0" borderId="83" xfId="0" applyNumberFormat="1" applyFont="1" applyBorder="1" applyAlignment="1" applyProtection="1">
      <alignment/>
      <protection/>
    </xf>
    <xf numFmtId="185" fontId="15" fillId="0" borderId="70" xfId="0" applyNumberFormat="1" applyFont="1" applyBorder="1" applyAlignment="1" applyProtection="1">
      <alignment/>
      <protection/>
    </xf>
    <xf numFmtId="184" fontId="15" fillId="0" borderId="84" xfId="0" applyNumberFormat="1" applyFont="1" applyBorder="1" applyAlignment="1" applyProtection="1">
      <alignment horizontal="center"/>
      <protection/>
    </xf>
    <xf numFmtId="184" fontId="15" fillId="0" borderId="85" xfId="0" applyNumberFormat="1" applyFont="1" applyBorder="1" applyAlignment="1" applyProtection="1">
      <alignment horizontal="center"/>
      <protection/>
    </xf>
    <xf numFmtId="184" fontId="15" fillId="0" borderId="86" xfId="0" applyNumberFormat="1" applyFont="1" applyBorder="1" applyAlignment="1" applyProtection="1">
      <alignment/>
      <protection/>
    </xf>
    <xf numFmtId="184" fontId="15" fillId="0" borderId="85" xfId="0" applyNumberFormat="1" applyFont="1" applyBorder="1" applyAlignment="1" applyProtection="1">
      <alignment/>
      <protection/>
    </xf>
    <xf numFmtId="184" fontId="15" fillId="0" borderId="34" xfId="0" applyNumberFormat="1" applyFont="1" applyBorder="1" applyAlignment="1" applyProtection="1">
      <alignment horizontal="center"/>
      <protection/>
    </xf>
    <xf numFmtId="3" fontId="15" fillId="0" borderId="85" xfId="0" applyNumberFormat="1" applyFont="1" applyBorder="1" applyAlignment="1" applyProtection="1">
      <alignment horizontal="center"/>
      <protection/>
    </xf>
    <xf numFmtId="0" fontId="0" fillId="0" borderId="52" xfId="0" applyFont="1" applyBorder="1" applyAlignment="1">
      <alignment horizontal="center"/>
    </xf>
    <xf numFmtId="184" fontId="16" fillId="0" borderId="85" xfId="0" applyNumberFormat="1" applyFont="1" applyFill="1" applyBorder="1" applyAlignment="1" applyProtection="1">
      <alignment/>
      <protection/>
    </xf>
    <xf numFmtId="184" fontId="16" fillId="0" borderId="52" xfId="0" applyNumberFormat="1" applyFont="1" applyFill="1" applyBorder="1" applyAlignment="1" applyProtection="1">
      <alignment horizontal="center"/>
      <protection/>
    </xf>
    <xf numFmtId="184" fontId="16" fillId="0" borderId="85" xfId="0" applyNumberFormat="1" applyFont="1" applyFill="1" applyBorder="1" applyAlignment="1" applyProtection="1">
      <alignment horizontal="center"/>
      <protection/>
    </xf>
    <xf numFmtId="184" fontId="15" fillId="0" borderId="84" xfId="0" applyNumberFormat="1" applyFont="1" applyFill="1" applyBorder="1" applyAlignment="1" applyProtection="1">
      <alignment horizontal="center"/>
      <protection/>
    </xf>
    <xf numFmtId="3" fontId="15" fillId="0" borderId="10" xfId="0" applyNumberFormat="1" applyFont="1" applyBorder="1" applyAlignment="1" applyProtection="1">
      <alignment horizontal="center"/>
      <protection/>
    </xf>
    <xf numFmtId="184" fontId="16" fillId="0" borderId="10" xfId="0" applyNumberFormat="1" applyFont="1" applyFill="1" applyBorder="1" applyAlignment="1" applyProtection="1">
      <alignment horizontal="center"/>
      <protection/>
    </xf>
    <xf numFmtId="184" fontId="15" fillId="0" borderId="10" xfId="0" applyNumberFormat="1" applyFont="1" applyBorder="1" applyAlignment="1" applyProtection="1">
      <alignment horizontal="center"/>
      <protection/>
    </xf>
    <xf numFmtId="184" fontId="15" fillId="0" borderId="52" xfId="0" applyNumberFormat="1" applyFont="1" applyBorder="1" applyAlignment="1" applyProtection="1">
      <alignment horizontal="center"/>
      <protection/>
    </xf>
    <xf numFmtId="0" fontId="15" fillId="33" borderId="29" xfId="0" applyFont="1" applyFill="1" applyBorder="1" applyAlignment="1" applyProtection="1">
      <alignment horizontal="left"/>
      <protection/>
    </xf>
    <xf numFmtId="0" fontId="15" fillId="33" borderId="29" xfId="0" applyFont="1" applyFill="1" applyBorder="1" applyAlignment="1" applyProtection="1">
      <alignment horizontal="center"/>
      <protection/>
    </xf>
    <xf numFmtId="190" fontId="11" fillId="0" borderId="39" xfId="0" applyNumberFormat="1" applyFont="1" applyBorder="1" applyAlignment="1">
      <alignment vertical="center"/>
    </xf>
    <xf numFmtId="0" fontId="2" fillId="33" borderId="75" xfId="0" applyFont="1" applyFill="1" applyBorder="1" applyAlignment="1">
      <alignment horizontal="center" vertical="center"/>
    </xf>
    <xf numFmtId="3" fontId="0" fillId="0" borderId="72" xfId="0" applyNumberFormat="1" applyBorder="1" applyAlignment="1">
      <alignment horizontal="center"/>
    </xf>
    <xf numFmtId="188" fontId="0" fillId="0" borderId="44" xfId="0" applyNumberFormat="1" applyFill="1" applyBorder="1" applyAlignment="1">
      <alignment horizontal="center" vertical="center" wrapText="1"/>
    </xf>
    <xf numFmtId="188" fontId="0" fillId="0" borderId="19" xfId="0" applyNumberFormat="1" applyFill="1" applyBorder="1" applyAlignment="1">
      <alignment horizontal="center" vertical="center" wrapText="1"/>
    </xf>
    <xf numFmtId="188" fontId="0" fillId="0" borderId="42" xfId="0" applyNumberFormat="1" applyFill="1" applyBorder="1" applyAlignment="1">
      <alignment horizontal="center" vertical="center"/>
    </xf>
    <xf numFmtId="188" fontId="0" fillId="0" borderId="41" xfId="0" applyNumberFormat="1" applyFill="1" applyBorder="1" applyAlignment="1">
      <alignment horizontal="center" vertical="center" wrapText="1"/>
    </xf>
    <xf numFmtId="188" fontId="0" fillId="0" borderId="22" xfId="0" applyNumberFormat="1" applyFill="1" applyBorder="1" applyAlignment="1">
      <alignment horizontal="center" vertical="center" wrapText="1"/>
    </xf>
    <xf numFmtId="0" fontId="1" fillId="32" borderId="63" xfId="0" applyFont="1" applyFill="1" applyBorder="1" applyAlignment="1" applyProtection="1">
      <alignment horizontal="center" vertical="center"/>
      <protection/>
    </xf>
    <xf numFmtId="190" fontId="7" fillId="0" borderId="10" xfId="0" applyNumberFormat="1" applyFont="1" applyBorder="1" applyAlignment="1" applyProtection="1">
      <alignment vertical="center"/>
      <protection/>
    </xf>
    <xf numFmtId="0" fontId="1" fillId="0" borderId="57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1" fillId="34" borderId="29" xfId="0" applyFont="1" applyFill="1" applyBorder="1" applyAlignment="1" applyProtection="1">
      <alignment horizontal="left" vertical="center"/>
      <protection/>
    </xf>
    <xf numFmtId="190" fontId="1" fillId="0" borderId="12" xfId="0" applyNumberFormat="1" applyFont="1" applyBorder="1" applyAlignment="1">
      <alignment vertical="center"/>
    </xf>
    <xf numFmtId="190" fontId="1" fillId="0" borderId="13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190" fontId="7" fillId="0" borderId="31" xfId="0" applyNumberFormat="1" applyFont="1" applyBorder="1" applyAlignment="1" applyProtection="1">
      <alignment vertical="center"/>
      <protection/>
    </xf>
    <xf numFmtId="0" fontId="7" fillId="0" borderId="45" xfId="0" applyFont="1" applyBorder="1" applyAlignment="1">
      <alignment vertical="center"/>
    </xf>
    <xf numFmtId="190" fontId="7" fillId="0" borderId="22" xfId="0" applyNumberFormat="1" applyFont="1" applyBorder="1" applyAlignment="1">
      <alignment vertical="center"/>
    </xf>
    <xf numFmtId="190" fontId="7" fillId="0" borderId="14" xfId="0" applyNumberFormat="1" applyFont="1" applyBorder="1" applyAlignment="1">
      <alignment vertical="center"/>
    </xf>
    <xf numFmtId="190" fontId="7" fillId="0" borderId="32" xfId="0" applyNumberFormat="1" applyFont="1" applyBorder="1" applyAlignment="1">
      <alignment vertical="center"/>
    </xf>
    <xf numFmtId="190" fontId="7" fillId="0" borderId="20" xfId="0" applyNumberFormat="1" applyFont="1" applyBorder="1" applyAlignment="1">
      <alignment vertical="center"/>
    </xf>
    <xf numFmtId="190" fontId="7" fillId="0" borderId="22" xfId="0" applyNumberFormat="1" applyFont="1" applyBorder="1" applyAlignment="1" applyProtection="1">
      <alignment vertical="center"/>
      <protection/>
    </xf>
    <xf numFmtId="190" fontId="1" fillId="0" borderId="14" xfId="0" applyNumberFormat="1" applyFont="1" applyBorder="1" applyAlignment="1" applyProtection="1">
      <alignment vertical="center"/>
      <protection/>
    </xf>
    <xf numFmtId="190" fontId="1" fillId="0" borderId="20" xfId="0" applyNumberFormat="1" applyFont="1" applyBorder="1" applyAlignment="1" applyProtection="1">
      <alignment vertical="center"/>
      <protection/>
    </xf>
    <xf numFmtId="185" fontId="4" fillId="32" borderId="32" xfId="0" applyNumberFormat="1" applyFont="1" applyFill="1" applyBorder="1" applyAlignment="1">
      <alignment horizontal="center" vertical="center"/>
    </xf>
    <xf numFmtId="4" fontId="4" fillId="0" borderId="63" xfId="0" applyNumberFormat="1" applyFont="1" applyBorder="1" applyAlignment="1">
      <alignment horizontal="center" vertical="center" wrapText="1"/>
    </xf>
    <xf numFmtId="185" fontId="8" fillId="0" borderId="60" xfId="0" applyNumberFormat="1" applyFont="1" applyBorder="1" applyAlignment="1">
      <alignment horizontal="center" vertical="center" wrapText="1"/>
    </xf>
    <xf numFmtId="185" fontId="8" fillId="0" borderId="34" xfId="0" applyNumberFormat="1" applyFont="1" applyBorder="1" applyAlignment="1">
      <alignment horizontal="center" vertical="center" wrapText="1"/>
    </xf>
    <xf numFmtId="185" fontId="4" fillId="0" borderId="34" xfId="0" applyNumberFormat="1" applyFont="1" applyBorder="1" applyAlignment="1">
      <alignment horizontal="center" vertical="center" wrapText="1"/>
    </xf>
    <xf numFmtId="185" fontId="8" fillId="0" borderId="64" xfId="0" applyNumberFormat="1" applyFont="1" applyBorder="1" applyAlignment="1">
      <alignment horizontal="center" vertical="center" wrapText="1"/>
    </xf>
    <xf numFmtId="4" fontId="4" fillId="34" borderId="59" xfId="0" applyNumberFormat="1" applyFont="1" applyFill="1" applyBorder="1" applyAlignment="1">
      <alignment horizontal="center" vertical="center" wrapText="1"/>
    </xf>
    <xf numFmtId="0" fontId="15" fillId="33" borderId="80" xfId="0" applyFont="1" applyFill="1" applyBorder="1" applyAlignment="1" applyProtection="1">
      <alignment horizontal="center"/>
      <protection/>
    </xf>
    <xf numFmtId="184" fontId="15" fillId="0" borderId="80" xfId="0" applyNumberFormat="1" applyFont="1" applyBorder="1" applyAlignment="1" applyProtection="1">
      <alignment horizontal="center"/>
      <protection/>
    </xf>
    <xf numFmtId="184" fontId="16" fillId="0" borderId="0" xfId="0" applyNumberFormat="1" applyFont="1" applyFill="1" applyBorder="1" applyAlignment="1" applyProtection="1">
      <alignment horizontal="center"/>
      <protection/>
    </xf>
    <xf numFmtId="0" fontId="15" fillId="33" borderId="34" xfId="0" applyFont="1" applyFill="1" applyBorder="1" applyAlignment="1" applyProtection="1">
      <alignment horizontal="center"/>
      <protection/>
    </xf>
    <xf numFmtId="184" fontId="15" fillId="0" borderId="54" xfId="0" applyNumberFormat="1" applyFont="1" applyBorder="1" applyAlignment="1" applyProtection="1">
      <alignment horizontal="center"/>
      <protection/>
    </xf>
    <xf numFmtId="184" fontId="15" fillId="0" borderId="87" xfId="0" applyNumberFormat="1" applyFont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4" fillId="0" borderId="7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85" fontId="8" fillId="0" borderId="15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90" fontId="2" fillId="0" borderId="35" xfId="0" applyNumberFormat="1" applyFont="1" applyBorder="1" applyAlignment="1">
      <alignment horizontal="center" vertical="center"/>
    </xf>
    <xf numFmtId="190" fontId="2" fillId="0" borderId="29" xfId="0" applyNumberFormat="1" applyFont="1" applyBorder="1" applyAlignment="1">
      <alignment horizontal="center" vertical="center"/>
    </xf>
    <xf numFmtId="190" fontId="2" fillId="0" borderId="39" xfId="0" applyNumberFormat="1" applyFont="1" applyBorder="1" applyAlignment="1">
      <alignment horizontal="center" vertical="center"/>
    </xf>
    <xf numFmtId="190" fontId="3" fillId="0" borderId="39" xfId="0" applyNumberFormat="1" applyFont="1" applyBorder="1" applyAlignment="1">
      <alignment horizontal="center" vertical="center"/>
    </xf>
    <xf numFmtId="190" fontId="2" fillId="0" borderId="30" xfId="0" applyNumberFormat="1" applyFont="1" applyBorder="1" applyAlignment="1">
      <alignment horizontal="center" vertical="center"/>
    </xf>
    <xf numFmtId="3" fontId="0" fillId="0" borderId="52" xfId="0" applyNumberFormat="1" applyBorder="1" applyAlignment="1">
      <alignment horizontal="center"/>
    </xf>
    <xf numFmtId="191" fontId="0" fillId="0" borderId="64" xfId="0" applyNumberFormat="1" applyFill="1" applyBorder="1" applyAlignment="1">
      <alignment horizontal="center" vertical="center" wrapText="1"/>
    </xf>
    <xf numFmtId="191" fontId="0" fillId="0" borderId="34" xfId="0" applyNumberFormat="1" applyFill="1" applyBorder="1" applyAlignment="1">
      <alignment horizontal="center" vertical="center" wrapText="1"/>
    </xf>
    <xf numFmtId="191" fontId="0" fillId="0" borderId="80" xfId="0" applyNumberFormat="1" applyFill="1" applyBorder="1" applyAlignment="1">
      <alignment horizontal="center" vertical="center" wrapText="1"/>
    </xf>
    <xf numFmtId="194" fontId="0" fillId="0" borderId="69" xfId="0" applyNumberFormat="1" applyFill="1" applyBorder="1" applyAlignment="1">
      <alignment horizontal="center" vertical="center" wrapText="1"/>
    </xf>
    <xf numFmtId="190" fontId="0" fillId="0" borderId="17" xfId="0" applyNumberFormat="1" applyFont="1" applyBorder="1" applyAlignment="1">
      <alignment horizontal="center" vertical="center"/>
    </xf>
    <xf numFmtId="190" fontId="0" fillId="0" borderId="13" xfId="0" applyNumberFormat="1" applyFont="1" applyBorder="1" applyAlignment="1">
      <alignment horizontal="center" vertical="center"/>
    </xf>
    <xf numFmtId="190" fontId="0" fillId="0" borderId="42" xfId="0" applyNumberFormat="1" applyFont="1" applyBorder="1" applyAlignment="1">
      <alignment horizontal="center" vertical="center"/>
    </xf>
    <xf numFmtId="190" fontId="11" fillId="0" borderId="42" xfId="0" applyNumberFormat="1" applyFont="1" applyBorder="1" applyAlignment="1">
      <alignment horizontal="center" vertical="center"/>
    </xf>
    <xf numFmtId="190" fontId="0" fillId="0" borderId="14" xfId="0" applyNumberFormat="1" applyFont="1" applyBorder="1" applyAlignment="1">
      <alignment horizontal="center" vertical="center"/>
    </xf>
    <xf numFmtId="188" fontId="0" fillId="0" borderId="15" xfId="0" applyNumberFormat="1" applyFill="1" applyBorder="1" applyAlignment="1">
      <alignment horizontal="center" vertical="center" wrapText="1"/>
    </xf>
    <xf numFmtId="188" fontId="0" fillId="0" borderId="12" xfId="0" applyNumberFormat="1" applyFill="1" applyBorder="1" applyAlignment="1">
      <alignment horizontal="center" vertical="center" wrapText="1"/>
    </xf>
    <xf numFmtId="185" fontId="2" fillId="0" borderId="73" xfId="0" applyNumberFormat="1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32" borderId="88" xfId="0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2" fillId="32" borderId="80" xfId="0" applyFont="1" applyFill="1" applyBorder="1" applyAlignment="1">
      <alignment horizontal="center" vertical="center"/>
    </xf>
    <xf numFmtId="0" fontId="2" fillId="32" borderId="89" xfId="0" applyFont="1" applyFill="1" applyBorder="1" applyAlignment="1">
      <alignment horizontal="right" vertical="center"/>
    </xf>
    <xf numFmtId="0" fontId="3" fillId="0" borderId="20" xfId="0" applyFont="1" applyBorder="1" applyAlignment="1">
      <alignment/>
    </xf>
    <xf numFmtId="0" fontId="4" fillId="0" borderId="5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5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85" fontId="8" fillId="0" borderId="20" xfId="0" applyNumberFormat="1" applyFont="1" applyBorder="1" applyAlignment="1">
      <alignment horizontal="center" vertical="center"/>
    </xf>
    <xf numFmtId="0" fontId="2" fillId="32" borderId="20" xfId="0" applyFont="1" applyFill="1" applyBorder="1" applyAlignment="1">
      <alignment horizontal="center"/>
    </xf>
    <xf numFmtId="186" fontId="0" fillId="0" borderId="0" xfId="0" applyNumberFormat="1" applyFont="1" applyAlignment="1">
      <alignment/>
    </xf>
    <xf numFmtId="0" fontId="2" fillId="0" borderId="52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32" borderId="59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vertical="center"/>
    </xf>
    <xf numFmtId="190" fontId="11" fillId="0" borderId="13" xfId="0" applyNumberFormat="1" applyFont="1" applyBorder="1" applyAlignment="1">
      <alignment horizontal="center" vertical="center"/>
    </xf>
    <xf numFmtId="190" fontId="1" fillId="0" borderId="32" xfId="0" applyNumberFormat="1" applyFont="1" applyBorder="1" applyAlignment="1" applyProtection="1">
      <alignment vertical="center"/>
      <protection/>
    </xf>
    <xf numFmtId="0" fontId="7" fillId="0" borderId="87" xfId="0" applyFont="1" applyBorder="1" applyAlignment="1">
      <alignment vertical="center"/>
    </xf>
    <xf numFmtId="185" fontId="8" fillId="0" borderId="14" xfId="0" applyNumberFormat="1" applyFont="1" applyBorder="1" applyAlignment="1">
      <alignment horizontal="center" vertical="center"/>
    </xf>
    <xf numFmtId="3" fontId="0" fillId="0" borderId="53" xfId="0" applyNumberFormat="1" applyBorder="1" applyAlignment="1">
      <alignment horizontal="center"/>
    </xf>
    <xf numFmtId="0" fontId="7" fillId="0" borderId="48" xfId="0" applyFont="1" applyBorder="1" applyAlignment="1">
      <alignment vertical="center"/>
    </xf>
    <xf numFmtId="185" fontId="1" fillId="0" borderId="0" xfId="0" applyNumberFormat="1" applyFont="1" applyBorder="1" applyAlignment="1">
      <alignment horizontal="center" vertical="center"/>
    </xf>
    <xf numFmtId="185" fontId="15" fillId="0" borderId="0" xfId="0" applyNumberFormat="1" applyFont="1" applyBorder="1" applyAlignment="1" applyProtection="1">
      <alignment horizontal="center"/>
      <protection/>
    </xf>
    <xf numFmtId="184" fontId="16" fillId="0" borderId="90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2" fillId="0" borderId="53" xfId="0" applyFont="1" applyBorder="1" applyAlignment="1">
      <alignment vertical="center"/>
    </xf>
    <xf numFmtId="0" fontId="3" fillId="0" borderId="54" xfId="0" applyFont="1" applyBorder="1" applyAlignment="1">
      <alignment/>
    </xf>
    <xf numFmtId="185" fontId="2" fillId="0" borderId="10" xfId="0" applyNumberFormat="1" applyFont="1" applyBorder="1" applyAlignment="1">
      <alignment/>
    </xf>
    <xf numFmtId="1" fontId="4" fillId="32" borderId="89" xfId="0" applyNumberFormat="1" applyFont="1" applyFill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85" fontId="8" fillId="0" borderId="31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 quotePrefix="1">
      <alignment horizontal="center" vertical="center"/>
    </xf>
    <xf numFmtId="185" fontId="8" fillId="0" borderId="3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9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55" applyFont="1" applyFill="1" applyBorder="1">
      <alignment/>
      <protection/>
    </xf>
    <xf numFmtId="0" fontId="2" fillId="0" borderId="0" xfId="0" applyFont="1" applyFill="1" applyBorder="1" applyAlignment="1">
      <alignment/>
    </xf>
    <xf numFmtId="0" fontId="0" fillId="0" borderId="91" xfId="0" applyBorder="1" applyAlignment="1">
      <alignment/>
    </xf>
    <xf numFmtId="0" fontId="0" fillId="0" borderId="55" xfId="0" applyBorder="1" applyAlignment="1">
      <alignment/>
    </xf>
    <xf numFmtId="0" fontId="2" fillId="35" borderId="14" xfId="55" applyFont="1" applyFill="1" applyBorder="1" applyAlignment="1">
      <alignment horizontal="center" vertical="center" wrapText="1"/>
      <protection/>
    </xf>
    <xf numFmtId="0" fontId="0" fillId="36" borderId="80" xfId="0" applyFill="1" applyBorder="1" applyAlignment="1">
      <alignment/>
    </xf>
    <xf numFmtId="0" fontId="2" fillId="36" borderId="15" xfId="55" applyFont="1" applyFill="1" applyBorder="1" applyAlignment="1">
      <alignment horizontal="center" vertical="center"/>
      <protection/>
    </xf>
    <xf numFmtId="0" fontId="2" fillId="36" borderId="34" xfId="55" applyFont="1" applyFill="1" applyBorder="1" applyAlignment="1">
      <alignment horizontal="center" vertical="center"/>
      <protection/>
    </xf>
    <xf numFmtId="0" fontId="97" fillId="36" borderId="34" xfId="0" applyFont="1" applyFill="1" applyBorder="1" applyAlignment="1">
      <alignment vertical="center"/>
    </xf>
    <xf numFmtId="0" fontId="97" fillId="36" borderId="70" xfId="0" applyFont="1" applyFill="1" applyBorder="1" applyAlignment="1">
      <alignment vertical="center"/>
    </xf>
    <xf numFmtId="207" fontId="3" fillId="0" borderId="13" xfId="0" applyNumberFormat="1" applyFont="1" applyFill="1" applyBorder="1" applyAlignment="1">
      <alignment horizontal="center" vertical="center"/>
    </xf>
    <xf numFmtId="207" fontId="2" fillId="0" borderId="10" xfId="0" applyNumberFormat="1" applyFont="1" applyFill="1" applyBorder="1" applyAlignment="1">
      <alignment horizontal="center" vertical="center"/>
    </xf>
    <xf numFmtId="207" fontId="11" fillId="0" borderId="13" xfId="0" applyNumberFormat="1" applyFont="1" applyFill="1" applyBorder="1" applyAlignment="1">
      <alignment horizontal="center" vertical="center"/>
    </xf>
    <xf numFmtId="207" fontId="0" fillId="0" borderId="10" xfId="0" applyNumberFormat="1" applyFont="1" applyFill="1" applyBorder="1" applyAlignment="1">
      <alignment horizontal="center" vertical="center"/>
    </xf>
    <xf numFmtId="207" fontId="11" fillId="0" borderId="49" xfId="0" applyNumberFormat="1" applyFont="1" applyFill="1" applyBorder="1" applyAlignment="1">
      <alignment horizontal="center" vertical="center"/>
    </xf>
    <xf numFmtId="192" fontId="0" fillId="0" borderId="0" xfId="0" applyNumberFormat="1" applyAlignment="1">
      <alignment/>
    </xf>
    <xf numFmtId="184" fontId="7" fillId="0" borderId="0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1" fontId="4" fillId="32" borderId="59" xfId="0" applyNumberFormat="1" applyFont="1" applyFill="1" applyBorder="1" applyAlignment="1">
      <alignment horizontal="center" vertical="center" wrapText="1"/>
    </xf>
    <xf numFmtId="0" fontId="15" fillId="33" borderId="46" xfId="0" applyFont="1" applyFill="1" applyBorder="1" applyAlignment="1" applyProtection="1">
      <alignment horizontal="center"/>
      <protection/>
    </xf>
    <xf numFmtId="184" fontId="15" fillId="0" borderId="46" xfId="0" applyNumberFormat="1" applyFont="1" applyBorder="1" applyAlignment="1" applyProtection="1">
      <alignment horizontal="center"/>
      <protection/>
    </xf>
    <xf numFmtId="184" fontId="15" fillId="0" borderId="20" xfId="0" applyNumberFormat="1" applyFont="1" applyBorder="1" applyAlignment="1" applyProtection="1">
      <alignment horizontal="center"/>
      <protection/>
    </xf>
    <xf numFmtId="184" fontId="16" fillId="0" borderId="72" xfId="0" applyNumberFormat="1" applyFont="1" applyFill="1" applyBorder="1" applyAlignment="1" applyProtection="1">
      <alignment horizontal="center"/>
      <protection/>
    </xf>
    <xf numFmtId="0" fontId="8" fillId="0" borderId="13" xfId="0" applyFont="1" applyBorder="1" applyAlignment="1" quotePrefix="1">
      <alignment horizontal="center" vertical="center"/>
    </xf>
    <xf numFmtId="207" fontId="3" fillId="0" borderId="31" xfId="0" applyNumberFormat="1" applyFont="1" applyFill="1" applyBorder="1" applyAlignment="1">
      <alignment horizontal="center" vertical="center"/>
    </xf>
    <xf numFmtId="207" fontId="11" fillId="0" borderId="31" xfId="0" applyNumberFormat="1" applyFont="1" applyFill="1" applyBorder="1" applyAlignment="1">
      <alignment horizontal="center" vertical="center"/>
    </xf>
    <xf numFmtId="207" fontId="11" fillId="0" borderId="45" xfId="0" applyNumberFormat="1" applyFont="1" applyFill="1" applyBorder="1" applyAlignment="1">
      <alignment horizontal="center" vertical="center"/>
    </xf>
    <xf numFmtId="207" fontId="0" fillId="0" borderId="2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5" fontId="0" fillId="0" borderId="54" xfId="0" applyNumberFormat="1" applyFill="1" applyBorder="1" applyAlignment="1">
      <alignment horizontal="center" vertical="center" wrapText="1"/>
    </xf>
    <xf numFmtId="191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7" fillId="0" borderId="54" xfId="0" applyNumberFormat="1" applyFont="1" applyBorder="1" applyAlignment="1" applyProtection="1">
      <alignment vertical="center"/>
      <protection/>
    </xf>
    <xf numFmtId="190" fontId="0" fillId="0" borderId="0" xfId="0" applyNumberFormat="1" applyAlignment="1">
      <alignment/>
    </xf>
    <xf numFmtId="0" fontId="15" fillId="33" borderId="64" xfId="0" applyFont="1" applyFill="1" applyBorder="1" applyAlignment="1" applyProtection="1">
      <alignment horizontal="center"/>
      <protection/>
    </xf>
    <xf numFmtId="184" fontId="15" fillId="0" borderId="64" xfId="0" applyNumberFormat="1" applyFont="1" applyBorder="1" applyAlignment="1" applyProtection="1">
      <alignment horizontal="center"/>
      <protection/>
    </xf>
    <xf numFmtId="184" fontId="16" fillId="0" borderId="53" xfId="0" applyNumberFormat="1" applyFont="1" applyFill="1" applyBorder="1" applyAlignment="1" applyProtection="1">
      <alignment horizontal="center"/>
      <protection/>
    </xf>
    <xf numFmtId="0" fontId="4" fillId="0" borderId="7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185" fontId="8" fillId="0" borderId="52" xfId="0" applyNumberFormat="1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5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5" fontId="8" fillId="0" borderId="52" xfId="0" applyNumberFormat="1" applyFont="1" applyBorder="1" applyAlignment="1" quotePrefix="1">
      <alignment horizontal="center" vertical="center"/>
    </xf>
    <xf numFmtId="185" fontId="8" fillId="0" borderId="10" xfId="0" applyNumberFormat="1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2" borderId="88" xfId="0" applyFont="1" applyFill="1" applyBorder="1" applyAlignment="1" applyProtection="1">
      <alignment horizontal="center" vertical="center" wrapText="1"/>
      <protection/>
    </xf>
    <xf numFmtId="0" fontId="2" fillId="32" borderId="92" xfId="0" applyFont="1" applyFill="1" applyBorder="1" applyAlignment="1" applyProtection="1">
      <alignment horizontal="center" vertical="center" wrapText="1"/>
      <protection/>
    </xf>
    <xf numFmtId="0" fontId="2" fillId="32" borderId="70" xfId="0" applyFont="1" applyFill="1" applyBorder="1" applyAlignment="1" applyProtection="1">
      <alignment horizontal="center" vertical="center" wrapText="1"/>
      <protection/>
    </xf>
    <xf numFmtId="0" fontId="2" fillId="32" borderId="7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32" borderId="65" xfId="0" applyFont="1" applyFill="1" applyBorder="1" applyAlignment="1">
      <alignment horizontal="center" vertical="center"/>
    </xf>
    <xf numFmtId="0" fontId="2" fillId="32" borderId="75" xfId="0" applyFont="1" applyFill="1" applyBorder="1" applyAlignment="1">
      <alignment horizontal="center" vertical="center"/>
    </xf>
    <xf numFmtId="0" fontId="2" fillId="32" borderId="78" xfId="0" applyFont="1" applyFill="1" applyBorder="1" applyAlignment="1">
      <alignment horizontal="center" vertical="center"/>
    </xf>
    <xf numFmtId="0" fontId="2" fillId="32" borderId="68" xfId="0" applyFont="1" applyFill="1" applyBorder="1" applyAlignment="1">
      <alignment horizontal="center" vertical="center"/>
    </xf>
    <xf numFmtId="0" fontId="2" fillId="32" borderId="87" xfId="0" applyFont="1" applyFill="1" applyBorder="1" applyAlignment="1">
      <alignment horizontal="center" vertical="center"/>
    </xf>
    <xf numFmtId="0" fontId="2" fillId="32" borderId="37" xfId="0" applyFont="1" applyFill="1" applyBorder="1" applyAlignment="1">
      <alignment horizontal="center" vertical="center"/>
    </xf>
    <xf numFmtId="0" fontId="2" fillId="32" borderId="60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74" xfId="0" applyFont="1" applyFill="1" applyBorder="1" applyAlignment="1">
      <alignment horizontal="center" vertical="center"/>
    </xf>
    <xf numFmtId="0" fontId="2" fillId="32" borderId="5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2" borderId="69" xfId="0" applyFont="1" applyFill="1" applyBorder="1" applyAlignment="1">
      <alignment horizontal="center" vertical="center" wrapText="1"/>
    </xf>
    <xf numFmtId="0" fontId="0" fillId="32" borderId="47" xfId="0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 wrapText="1"/>
    </xf>
    <xf numFmtId="0" fontId="0" fillId="32" borderId="20" xfId="0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1" fillId="32" borderId="56" xfId="0" applyFont="1" applyFill="1" applyBorder="1" applyAlignment="1">
      <alignment horizontal="center" vertical="center"/>
    </xf>
    <xf numFmtId="0" fontId="1" fillId="32" borderId="93" xfId="0" applyFont="1" applyFill="1" applyBorder="1" applyAlignment="1">
      <alignment horizontal="center" vertical="center"/>
    </xf>
    <xf numFmtId="0" fontId="1" fillId="32" borderId="9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32" borderId="56" xfId="0" applyFont="1" applyFill="1" applyBorder="1" applyAlignment="1" applyProtection="1">
      <alignment horizontal="center" vertical="center"/>
      <protection/>
    </xf>
    <xf numFmtId="0" fontId="1" fillId="32" borderId="93" xfId="0" applyFont="1" applyFill="1" applyBorder="1" applyAlignment="1" applyProtection="1">
      <alignment horizontal="center" vertical="center"/>
      <protection/>
    </xf>
    <xf numFmtId="0" fontId="1" fillId="32" borderId="94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185" fontId="4" fillId="0" borderId="0" xfId="0" applyNumberFormat="1" applyFont="1" applyBorder="1" applyAlignment="1">
      <alignment horizontal="center" vertical="center"/>
    </xf>
    <xf numFmtId="0" fontId="2" fillId="32" borderId="77" xfId="0" applyFont="1" applyFill="1" applyBorder="1" applyAlignment="1">
      <alignment horizontal="center" vertical="center"/>
    </xf>
    <xf numFmtId="185" fontId="4" fillId="32" borderId="88" xfId="0" applyNumberFormat="1" applyFont="1" applyFill="1" applyBorder="1" applyAlignment="1">
      <alignment horizontal="center" vertical="center"/>
    </xf>
    <xf numFmtId="185" fontId="4" fillId="32" borderId="73" xfId="0" applyNumberFormat="1" applyFont="1" applyFill="1" applyBorder="1" applyAlignment="1">
      <alignment horizontal="center" vertical="center"/>
    </xf>
    <xf numFmtId="185" fontId="4" fillId="32" borderId="92" xfId="0" applyNumberFormat="1" applyFont="1" applyFill="1" applyBorder="1" applyAlignment="1">
      <alignment horizontal="center" vertical="center"/>
    </xf>
    <xf numFmtId="185" fontId="4" fillId="32" borderId="70" xfId="0" applyNumberFormat="1" applyFont="1" applyFill="1" applyBorder="1" applyAlignment="1">
      <alignment horizontal="center" vertical="center"/>
    </xf>
    <xf numFmtId="185" fontId="4" fillId="32" borderId="24" xfId="0" applyNumberFormat="1" applyFont="1" applyFill="1" applyBorder="1" applyAlignment="1">
      <alignment horizontal="center" vertical="center"/>
    </xf>
    <xf numFmtId="185" fontId="4" fillId="32" borderId="71" xfId="0" applyNumberFormat="1" applyFont="1" applyFill="1" applyBorder="1" applyAlignment="1">
      <alignment horizontal="center" vertical="center"/>
    </xf>
    <xf numFmtId="185" fontId="20" fillId="32" borderId="73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/>
    </xf>
    <xf numFmtId="0" fontId="2" fillId="32" borderId="91" xfId="0" applyFont="1" applyFill="1" applyBorder="1" applyAlignment="1">
      <alignment horizontal="center"/>
    </xf>
    <xf numFmtId="0" fontId="16" fillId="37" borderId="95" xfId="0" applyFont="1" applyFill="1" applyBorder="1" applyAlignment="1" applyProtection="1">
      <alignment horizontal="center" vertical="center" wrapText="1"/>
      <protection/>
    </xf>
    <xf numFmtId="0" fontId="16" fillId="37" borderId="83" xfId="0" applyFont="1" applyFill="1" applyBorder="1" applyAlignment="1" applyProtection="1">
      <alignment horizontal="center" vertical="center" wrapText="1"/>
      <protection/>
    </xf>
    <xf numFmtId="0" fontId="16" fillId="37" borderId="96" xfId="0" applyFont="1" applyFill="1" applyBorder="1" applyAlignment="1" applyProtection="1">
      <alignment horizontal="center" vertical="center" wrapText="1"/>
      <protection/>
    </xf>
    <xf numFmtId="0" fontId="16" fillId="37" borderId="97" xfId="0" applyFont="1" applyFill="1" applyBorder="1" applyAlignment="1" applyProtection="1" quotePrefix="1">
      <alignment horizontal="center" vertical="center" wrapText="1"/>
      <protection/>
    </xf>
    <xf numFmtId="0" fontId="16" fillId="37" borderId="81" xfId="0" applyFont="1" applyFill="1" applyBorder="1" applyAlignment="1" applyProtection="1" quotePrefix="1">
      <alignment horizontal="center" vertical="center" wrapText="1"/>
      <protection/>
    </xf>
    <xf numFmtId="0" fontId="16" fillId="37" borderId="98" xfId="0" applyFont="1" applyFill="1" applyBorder="1" applyAlignment="1" applyProtection="1" quotePrefix="1">
      <alignment horizontal="center" vertical="center" wrapText="1"/>
      <protection/>
    </xf>
    <xf numFmtId="0" fontId="15" fillId="32" borderId="99" xfId="0" applyFont="1" applyFill="1" applyBorder="1" applyAlignment="1">
      <alignment horizontal="center" vertical="center" wrapText="1"/>
    </xf>
    <xf numFmtId="0" fontId="15" fillId="32" borderId="82" xfId="0" applyFont="1" applyFill="1" applyBorder="1" applyAlignment="1">
      <alignment horizontal="center" vertical="center" wrapText="1"/>
    </xf>
    <xf numFmtId="0" fontId="15" fillId="32" borderId="100" xfId="0" applyFont="1" applyFill="1" applyBorder="1" applyAlignment="1">
      <alignment horizontal="center" vertical="center" wrapText="1"/>
    </xf>
    <xf numFmtId="0" fontId="15" fillId="32" borderId="97" xfId="0" applyFont="1" applyFill="1" applyBorder="1" applyAlignment="1" applyProtection="1">
      <alignment horizontal="center" vertical="center" wrapText="1"/>
      <protection/>
    </xf>
    <xf numFmtId="0" fontId="15" fillId="32" borderId="81" xfId="0" applyFont="1" applyFill="1" applyBorder="1" applyAlignment="1" applyProtection="1">
      <alignment horizontal="center" vertical="center" wrapText="1"/>
      <protection/>
    </xf>
    <xf numFmtId="0" fontId="15" fillId="32" borderId="98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/>
      <protection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8" fillId="32" borderId="79" xfId="0" applyFont="1" applyFill="1" applyBorder="1" applyAlignment="1" applyProtection="1">
      <alignment horizontal="center" wrapText="1"/>
      <protection/>
    </xf>
    <xf numFmtId="0" fontId="18" fillId="32" borderId="101" xfId="0" applyFont="1" applyFill="1" applyBorder="1" applyAlignment="1" applyProtection="1">
      <alignment horizontal="center" wrapText="1"/>
      <protection/>
    </xf>
    <xf numFmtId="0" fontId="18" fillId="32" borderId="102" xfId="0" applyFont="1" applyFill="1" applyBorder="1" applyAlignment="1" applyProtection="1">
      <alignment horizontal="center" vertical="center" wrapText="1"/>
      <protection/>
    </xf>
    <xf numFmtId="0" fontId="18" fillId="32" borderId="101" xfId="0" applyFont="1" applyFill="1" applyBorder="1" applyAlignment="1" applyProtection="1">
      <alignment horizontal="center" vertical="center" wrapText="1"/>
      <protection/>
    </xf>
    <xf numFmtId="0" fontId="18" fillId="32" borderId="103" xfId="0" applyFont="1" applyFill="1" applyBorder="1" applyAlignment="1" applyProtection="1">
      <alignment horizontal="center" vertical="center" wrapText="1"/>
      <protection/>
    </xf>
    <xf numFmtId="0" fontId="18" fillId="32" borderId="104" xfId="0" applyFont="1" applyFill="1" applyBorder="1" applyAlignment="1" applyProtection="1">
      <alignment horizontal="center" vertical="center" wrapText="1"/>
      <protection/>
    </xf>
    <xf numFmtId="0" fontId="18" fillId="32" borderId="105" xfId="0" applyFont="1" applyFill="1" applyBorder="1" applyAlignment="1" applyProtection="1">
      <alignment horizontal="center" vertical="top" wrapText="1"/>
      <protection/>
    </xf>
    <xf numFmtId="0" fontId="18" fillId="32" borderId="104" xfId="0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center" vertical="top" wrapText="1"/>
    </xf>
    <xf numFmtId="207" fontId="17" fillId="34" borderId="0" xfId="0" applyNumberFormat="1" applyFont="1" applyFill="1" applyAlignment="1" applyProtection="1">
      <alignment horizontal="left"/>
      <protection/>
    </xf>
    <xf numFmtId="207" fontId="17" fillId="34" borderId="0" xfId="0" applyNumberFormat="1" applyFont="1" applyFill="1" applyAlignment="1" applyProtection="1" quotePrefix="1">
      <alignment horizontal="left"/>
      <protection/>
    </xf>
    <xf numFmtId="0" fontId="4" fillId="0" borderId="55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32" borderId="33" xfId="0" applyFont="1" applyFill="1" applyBorder="1" applyAlignment="1">
      <alignment horizontal="center" vertical="center" wrapText="1"/>
    </xf>
    <xf numFmtId="0" fontId="4" fillId="32" borderId="46" xfId="0" applyFont="1" applyFill="1" applyBorder="1" applyAlignment="1">
      <alignment horizontal="center" vertical="center" wrapText="1"/>
    </xf>
    <xf numFmtId="4" fontId="4" fillId="32" borderId="33" xfId="0" applyNumberFormat="1" applyFont="1" applyFill="1" applyBorder="1" applyAlignment="1">
      <alignment horizontal="center" vertical="center" wrapText="1"/>
    </xf>
    <xf numFmtId="4" fontId="4" fillId="32" borderId="106" xfId="0" applyNumberFormat="1" applyFont="1" applyFill="1" applyBorder="1" applyAlignment="1">
      <alignment horizontal="center" vertical="center" wrapText="1"/>
    </xf>
    <xf numFmtId="4" fontId="4" fillId="32" borderId="69" xfId="0" applyNumberFormat="1" applyFont="1" applyFill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35" borderId="67" xfId="55" applyFont="1" applyFill="1" applyBorder="1" applyAlignment="1">
      <alignment horizontal="center" vertical="justify" wrapText="1"/>
      <protection/>
    </xf>
    <xf numFmtId="0" fontId="2" fillId="35" borderId="73" xfId="55" applyFont="1" applyFill="1" applyBorder="1" applyAlignment="1">
      <alignment horizontal="center" vertical="justify" wrapText="1"/>
      <protection/>
    </xf>
    <xf numFmtId="0" fontId="2" fillId="35" borderId="66" xfId="55" applyFont="1" applyFill="1" applyBorder="1" applyAlignment="1">
      <alignment horizontal="center" vertical="justify" wrapText="1"/>
      <protection/>
    </xf>
    <xf numFmtId="0" fontId="2" fillId="35" borderId="40" xfId="55" applyFont="1" applyFill="1" applyBorder="1" applyAlignment="1">
      <alignment horizontal="center" vertical="justify" wrapText="1"/>
      <protection/>
    </xf>
    <xf numFmtId="0" fontId="2" fillId="35" borderId="51" xfId="55" applyFont="1" applyFill="1" applyBorder="1" applyAlignment="1">
      <alignment horizontal="center" vertical="justify" wrapText="1"/>
      <protection/>
    </xf>
    <xf numFmtId="0" fontId="2" fillId="35" borderId="26" xfId="55" applyFont="1" applyFill="1" applyBorder="1" applyAlignment="1">
      <alignment horizontal="center" vertical="justify" wrapText="1"/>
      <protection/>
    </xf>
    <xf numFmtId="0" fontId="2" fillId="33" borderId="107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/>
    </xf>
    <xf numFmtId="0" fontId="2" fillId="32" borderId="106" xfId="0" applyFont="1" applyFill="1" applyBorder="1" applyAlignment="1">
      <alignment horizontal="center"/>
    </xf>
    <xf numFmtId="0" fontId="2" fillId="32" borderId="69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2" fillId="32" borderId="35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5" borderId="88" xfId="55" applyFont="1" applyFill="1" applyBorder="1" applyAlignment="1">
      <alignment horizontal="center" vertical="center"/>
      <protection/>
    </xf>
    <xf numFmtId="0" fontId="2" fillId="35" borderId="80" xfId="55" applyFont="1" applyFill="1" applyBorder="1" applyAlignment="1">
      <alignment horizontal="center" vertical="center"/>
      <protection/>
    </xf>
    <xf numFmtId="0" fontId="2" fillId="35" borderId="70" xfId="55" applyFont="1" applyFill="1" applyBorder="1" applyAlignment="1">
      <alignment horizontal="center" vertical="center"/>
      <protection/>
    </xf>
    <xf numFmtId="0" fontId="2" fillId="35" borderId="68" xfId="55" applyFont="1" applyFill="1" applyBorder="1" applyAlignment="1">
      <alignment horizontal="center" vertical="center" wrapText="1"/>
      <protection/>
    </xf>
    <xf numFmtId="0" fontId="2" fillId="35" borderId="87" xfId="55" applyFont="1" applyFill="1" applyBorder="1" applyAlignment="1">
      <alignment horizontal="center" vertical="center" wrapText="1"/>
      <protection/>
    </xf>
    <xf numFmtId="0" fontId="2" fillId="35" borderId="37" xfId="55" applyFont="1" applyFill="1" applyBorder="1" applyAlignment="1">
      <alignment horizontal="center" vertical="center" wrapText="1"/>
      <protection/>
    </xf>
    <xf numFmtId="0" fontId="97" fillId="0" borderId="0" xfId="0" applyFont="1" applyFill="1" applyBorder="1" applyAlignment="1">
      <alignment horizontal="justify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190" fontId="38" fillId="0" borderId="0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 2" xfId="56"/>
    <cellStyle name="Normal 5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8"/>
          <c:w val="0.9455"/>
          <c:h val="0.90175"/>
        </c:manualLayout>
      </c:layout>
      <c:lineChart>
        <c:grouping val="stacked"/>
        <c:varyColors val="0"/>
        <c:ser>
          <c:idx val="0"/>
          <c:order val="0"/>
          <c:tx>
            <c:strRef>
              <c:f>'G-IE-1 PIBTotPreMerc07,07-21'!$N$4</c:f>
              <c:strCache>
                <c:ptCount val="1"/>
                <c:pt idx="0">
                  <c:v>PRODUCTO INTERNO BRUTO TOTAL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'G-IE-1 PIBTotPreMerc07,07-21'!$N$6:$N$20</c:f>
              <c:numCache/>
            </c:numRef>
          </c:cat>
          <c:val>
            <c:numRef>
              <c:f>'G-IE-1 PIBTotPreMerc07,07-21'!$O$6:$O$20</c:f>
              <c:numCache/>
            </c:numRef>
          </c:val>
          <c:smooth val="0"/>
        </c:ser>
        <c:marker val="1"/>
        <c:axId val="52326527"/>
        <c:axId val="1176696"/>
      </c:lineChart>
      <c:catAx>
        <c:axId val="52326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6696"/>
        <c:crossesAt val="20000"/>
        <c:auto val="1"/>
        <c:lblOffset val="100"/>
        <c:tickLblSkip val="1"/>
        <c:noMultiLvlLbl val="0"/>
      </c:catAx>
      <c:valAx>
        <c:axId val="1176696"/>
        <c:scaling>
          <c:orientation val="minMax"/>
          <c:max val="70000"/>
          <c:min val="2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26527"/>
        <c:crossesAt val="1"/>
        <c:crossBetween val="between"/>
        <c:dispUnits/>
        <c:majorUnit val="3000"/>
        <c:minorUnit val="500"/>
      </c:valAx>
      <c:spPr>
        <a:gradFill rotWithShape="1">
          <a:gsLst>
            <a:gs pos="0">
              <a:srgbClr val="FFFFCC"/>
            </a:gs>
            <a:gs pos="50000">
              <a:srgbClr val="FFFFE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FFFFCC"/>
          </a:solidFill>
        </a:ln>
      </c:spPr>
    </c:plotArea>
    <c:plotVisOnly val="1"/>
    <c:dispBlanksAs val="zero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36"/>
          <c:w val="0.8755"/>
          <c:h val="0.7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'G-IE-4 VenElec&amp;PIB,96-21'!$P$4</c:f>
              <c:strCache>
                <c:ptCount val="1"/>
                <c:pt idx="0">
                  <c:v>Ventas en GWh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'G-IE-4 VenElec&amp;PIB,96-21'!$O$5:$O$19</c:f>
              <c:numCache/>
            </c:numRef>
          </c:cat>
          <c:val>
            <c:numRef>
              <c:f>'G-IE-4 VenElec&amp;PIB,96-21'!$P$5:$P$19</c:f>
              <c:numCache/>
            </c:numRef>
          </c:val>
        </c:ser>
        <c:axId val="30974327"/>
        <c:axId val="10333488"/>
      </c:barChart>
      <c:lineChart>
        <c:grouping val="standard"/>
        <c:varyColors val="0"/>
        <c:ser>
          <c:idx val="0"/>
          <c:order val="1"/>
          <c:tx>
            <c:strRef>
              <c:f>'G-IE-4 VenElec&amp;PIB,96-21'!$Q$4</c:f>
              <c:strCache>
                <c:ptCount val="1"/>
                <c:pt idx="0">
                  <c:v>PIB Millones de B/.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'G-IE-4 VenElec&amp;PIB,96-21'!$O$5:$O$19</c:f>
              <c:numCache/>
            </c:numRef>
          </c:cat>
          <c:val>
            <c:numRef>
              <c:f>'G-IE-4 VenElec&amp;PIB,96-21'!$Q$5:$Q$19</c:f>
              <c:numCache/>
            </c:numRef>
          </c:val>
          <c:smooth val="0"/>
        </c:ser>
        <c:axId val="25892529"/>
        <c:axId val="31706170"/>
      </c:lineChart>
      <c:catAx>
        <c:axId val="30974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</a:defRPr>
            </a:pPr>
          </a:p>
        </c:txPr>
        <c:crossAx val="10333488"/>
        <c:crossesAt val="2000"/>
        <c:auto val="0"/>
        <c:lblOffset val="100"/>
        <c:tickLblSkip val="1"/>
        <c:noMultiLvlLbl val="0"/>
      </c:catAx>
      <c:valAx>
        <c:axId val="10333488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-0.012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0974327"/>
        <c:crossesAt val="1"/>
        <c:crossBetween val="between"/>
        <c:dispUnits/>
      </c:valAx>
      <c:catAx>
        <c:axId val="25892529"/>
        <c:scaling>
          <c:orientation val="minMax"/>
        </c:scaling>
        <c:axPos val="b"/>
        <c:delete val="1"/>
        <c:majorTickMark val="out"/>
        <c:minorTickMark val="none"/>
        <c:tickLblPos val="nextTo"/>
        <c:crossAx val="31706170"/>
        <c:crossesAt val="20000"/>
        <c:auto val="0"/>
        <c:lblOffset val="100"/>
        <c:tickLblSkip val="1"/>
        <c:noMultiLvlLbl val="0"/>
      </c:catAx>
      <c:valAx>
        <c:axId val="31706170"/>
        <c:scaling>
          <c:orientation val="minMax"/>
          <c:max val="68000"/>
          <c:min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PIB
Millones de B/.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5892529"/>
        <c:crosses val="max"/>
        <c:crossBetween val="between"/>
        <c:dispUnits/>
        <c:majorUnit val="3000"/>
      </c:valAx>
      <c:spPr>
        <a:noFill/>
        <a:ln w="3175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475"/>
          <c:y val="0.9045"/>
          <c:w val="0.5295"/>
          <c:h val="0.078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3675"/>
          <c:w val="0.8755"/>
          <c:h val="0.78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'G-IE-4 VenElec&amp;PIB,96-21'!$P$4</c:f>
              <c:strCache>
                <c:ptCount val="1"/>
                <c:pt idx="0">
                  <c:v>Ventas en GWh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'G-IE-4 VenElec&amp;PIB,96-21'!$O$30:$O$46</c:f>
              <c:numCache/>
            </c:numRef>
          </c:cat>
          <c:val>
            <c:numRef>
              <c:f>'G-IE-4 VenElec&amp;PIB,96-21'!$P$30:$P$46</c:f>
              <c:numCache/>
            </c:numRef>
          </c:val>
        </c:ser>
        <c:axId val="16920075"/>
        <c:axId val="18062948"/>
      </c:barChart>
      <c:lineChart>
        <c:grouping val="standard"/>
        <c:varyColors val="0"/>
        <c:ser>
          <c:idx val="0"/>
          <c:order val="1"/>
          <c:tx>
            <c:strRef>
              <c:f>'G-IE-4 VenElec&amp;PIB,96-21'!$Q$4</c:f>
              <c:strCache>
                <c:ptCount val="1"/>
                <c:pt idx="0">
                  <c:v>PIB Millones de B/.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'G-IE-4 VenElec&amp;PIB,96-21'!$O$30:$O$46</c:f>
              <c:numCache/>
            </c:numRef>
          </c:cat>
          <c:val>
            <c:numRef>
              <c:f>'G-IE-4 VenElec&amp;PIB,96-21'!$Q$30:$Q$46</c:f>
              <c:numCache/>
            </c:numRef>
          </c:val>
          <c:smooth val="0"/>
        </c:ser>
        <c:axId val="28348805"/>
        <c:axId val="53812654"/>
      </c:lineChart>
      <c:catAx>
        <c:axId val="16920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</a:defRPr>
            </a:pPr>
          </a:p>
        </c:txPr>
        <c:crossAx val="18062948"/>
        <c:crossesAt val="2000"/>
        <c:auto val="0"/>
        <c:lblOffset val="100"/>
        <c:tickLblSkip val="1"/>
        <c:noMultiLvlLbl val="0"/>
      </c:catAx>
      <c:valAx>
        <c:axId val="18062948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-0.012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6920075"/>
        <c:crossesAt val="1"/>
        <c:crossBetween val="between"/>
        <c:dispUnits/>
      </c:valAx>
      <c:catAx>
        <c:axId val="28348805"/>
        <c:scaling>
          <c:orientation val="minMax"/>
        </c:scaling>
        <c:axPos val="b"/>
        <c:delete val="1"/>
        <c:majorTickMark val="out"/>
        <c:minorTickMark val="none"/>
        <c:tickLblPos val="nextTo"/>
        <c:crossAx val="53812654"/>
        <c:crossesAt val="8000"/>
        <c:auto val="0"/>
        <c:lblOffset val="100"/>
        <c:tickLblSkip val="1"/>
        <c:noMultiLvlLbl val="0"/>
      </c:catAx>
      <c:valAx>
        <c:axId val="53812654"/>
        <c:scaling>
          <c:orientation val="minMax"/>
          <c:max val="28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PIB
Millones de B/.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8348805"/>
        <c:crosses val="max"/>
        <c:crossBetween val="between"/>
        <c:dispUnits/>
        <c:majorUnit val="2000"/>
      </c:val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575"/>
          <c:y val="0.8995"/>
          <c:w val="0.5295"/>
          <c:h val="0.082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4375"/>
          <c:w val="0.90025"/>
          <c:h val="0.8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'G-IE-5 TProCreVenEle&amp;PIB96-21'!$L$7</c:f>
              <c:strCache>
                <c:ptCount val="1"/>
                <c:pt idx="0">
                  <c:v>Ventas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'G-IE-5 TProCreVenEle&amp;PIB96-21'!$M$6:$N$6</c:f>
              <c:strCache/>
            </c:strRef>
          </c:cat>
          <c:val>
            <c:numRef>
              <c:f>'G-IE-5 TProCreVenEle&amp;PIB96-21'!$M$7:$N$7</c:f>
              <c:numCache/>
            </c:numRef>
          </c:val>
        </c:ser>
        <c:ser>
          <c:idx val="1"/>
          <c:order val="1"/>
          <c:tx>
            <c:strRef>
              <c:f>'G-IE-5 TProCreVenEle&amp;PIB96-21'!$L$8</c:f>
              <c:strCache>
                <c:ptCount val="1"/>
                <c:pt idx="0">
                  <c:v>PIB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'G-IE-5 TProCreVenEle&amp;PIB96-21'!$M$6:$N$6</c:f>
              <c:strCache/>
            </c:strRef>
          </c:cat>
          <c:val>
            <c:numRef>
              <c:f>'G-IE-5 TProCreVenEle&amp;PIB96-21'!$M$8:$N$8</c:f>
              <c:numCache/>
            </c:numRef>
          </c:val>
        </c:ser>
        <c:overlap val="-20"/>
        <c:axId val="14551839"/>
        <c:axId val="63857688"/>
      </c:barChart>
      <c:catAx>
        <c:axId val="14551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75" b="0" i="0" u="none" baseline="0">
                <a:solidFill>
                  <a:srgbClr val="000000"/>
                </a:solidFill>
              </a:defRPr>
            </a:pPr>
          </a:p>
        </c:txPr>
        <c:crossAx val="63857688"/>
        <c:crosses val="autoZero"/>
        <c:auto val="1"/>
        <c:lblOffset val="100"/>
        <c:tickLblSkip val="1"/>
        <c:noMultiLvlLbl val="0"/>
      </c:catAx>
      <c:valAx>
        <c:axId val="63857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Tasa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5183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CCFFFF"/>
            </a:gs>
            <a:gs pos="100000">
              <a:srgbClr val="EFFFFF"/>
            </a:gs>
          </a:gsLst>
          <a:path path="rect">
            <a:fillToRect l="50000" t="50000" r="50000" b="50000"/>
          </a:path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25"/>
          <c:y val="0.887"/>
          <c:w val="0.596"/>
          <c:h val="0.10275"/>
        </c:manualLayout>
      </c:layout>
      <c:overlay val="0"/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4375"/>
          <c:w val="0.90025"/>
          <c:h val="0.8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'G-IE-5 TProCreVenEle&amp;PIB96-21'!$L$7</c:f>
              <c:strCache>
                <c:ptCount val="1"/>
                <c:pt idx="0">
                  <c:v>Ventas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76475E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'G-IE-5 TProCreVenEle&amp;PIB96-21'!$M$32:$N$32</c:f>
              <c:strCache/>
            </c:strRef>
          </c:cat>
          <c:val>
            <c:numRef>
              <c:f>'G-IE-5 TProCreVenEle&amp;PIB96-21'!$M$33:$N$33</c:f>
              <c:numCache/>
            </c:numRef>
          </c:val>
        </c:ser>
        <c:ser>
          <c:idx val="1"/>
          <c:order val="1"/>
          <c:tx>
            <c:strRef>
              <c:f>'G-IE-5 TProCreVenEle&amp;PIB96-21'!$L$8</c:f>
              <c:strCache>
                <c:ptCount val="1"/>
                <c:pt idx="0">
                  <c:v>PIB</c:v>
                </c:pt>
              </c:strCache>
            </c:strRef>
          </c:tx>
          <c:spPr>
            <a:gradFill rotWithShape="1">
              <a:gsLst>
                <a:gs pos="0">
                  <a:srgbClr val="5E765E"/>
                </a:gs>
                <a:gs pos="100000">
                  <a:srgbClr val="CCFF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5E765E"/>
                  </a:gs>
                  <a:gs pos="100000">
                    <a:srgbClr val="CCFFCC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5E765E"/>
                  </a:gs>
                  <a:gs pos="100000">
                    <a:srgbClr val="CCFFCC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'G-IE-5 TProCreVenEle&amp;PIB96-21'!$M$32:$N$32</c:f>
              <c:strCache/>
            </c:strRef>
          </c:cat>
          <c:val>
            <c:numRef>
              <c:f>'G-IE-5 TProCreVenEle&amp;PIB96-21'!$M$34:$N$34</c:f>
              <c:numCache/>
            </c:numRef>
          </c:val>
        </c:ser>
        <c:overlap val="-20"/>
        <c:axId val="37848281"/>
        <c:axId val="5090210"/>
      </c:barChart>
      <c:catAx>
        <c:axId val="37848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75" b="0" i="0" u="none" baseline="0">
                <a:solidFill>
                  <a:srgbClr val="000000"/>
                </a:solidFill>
              </a:defRPr>
            </a:pPr>
          </a:p>
        </c:txPr>
        <c:crossAx val="5090210"/>
        <c:crosses val="autoZero"/>
        <c:auto val="1"/>
        <c:lblOffset val="100"/>
        <c:tickLblSkip val="1"/>
        <c:noMultiLvlLbl val="0"/>
      </c:catAx>
      <c:valAx>
        <c:axId val="5090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Tasa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4828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525"/>
          <c:y val="0.924"/>
          <c:w val="0.596"/>
          <c:h val="0.076"/>
        </c:manualLayout>
      </c:layout>
      <c:overlay val="0"/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12700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4475"/>
          <c:w val="0.89275"/>
          <c:h val="0.8105"/>
        </c:manualLayout>
      </c:layout>
      <c:lineChart>
        <c:grouping val="stacked"/>
        <c:varyColors val="0"/>
        <c:ser>
          <c:idx val="0"/>
          <c:order val="0"/>
          <c:tx>
            <c:strRef>
              <c:f>'G-IE-6 ConEnerXUnPro,96-21'!$O$4</c:f>
              <c:strCache>
                <c:ptCount val="1"/>
                <c:pt idx="0">
                  <c:v>KWh /B/. PIB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'G-IE-6 ConEnerXUnPro,96-21'!$N$5:$N$19</c:f>
              <c:numCache/>
            </c:numRef>
          </c:cat>
          <c:val>
            <c:numRef>
              <c:f>'G-IE-6 ConEnerXUnPro,96-21'!$O$5:$O$19</c:f>
              <c:numCache/>
            </c:numRef>
          </c:val>
          <c:smooth val="0"/>
        </c:ser>
        <c:marker val="1"/>
        <c:axId val="45811891"/>
        <c:axId val="9653836"/>
      </c:lineChart>
      <c:catAx>
        <c:axId val="45811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53836"/>
        <c:crossesAt val="0.12000000000000001"/>
        <c:auto val="1"/>
        <c:lblOffset val="100"/>
        <c:tickLblSkip val="1"/>
        <c:noMultiLvlLbl val="0"/>
      </c:catAx>
      <c:valAx>
        <c:axId val="9653836"/>
        <c:scaling>
          <c:orientation val="minMax"/>
          <c:max val="0.28"/>
          <c:min val="0.12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kWh /B/. PIB</a:t>
                </a:r>
              </a:p>
            </c:rich>
          </c:tx>
          <c:layout>
            <c:manualLayout>
              <c:xMode val="factor"/>
              <c:yMode val="factor"/>
              <c:x val="-0.019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811891"/>
        <c:crossesAt val="1"/>
        <c:crossBetween val="between"/>
        <c:dispUnits/>
        <c:majorUnit val="0.01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4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97"/>
          <c:y val="0.91725"/>
          <c:w val="0.4385"/>
          <c:h val="0.0645"/>
        </c:manualLayout>
      </c:layout>
      <c:overlay val="0"/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46"/>
          <c:w val="0.89175"/>
          <c:h val="0.80575"/>
        </c:manualLayout>
      </c:layout>
      <c:lineChart>
        <c:grouping val="stacked"/>
        <c:varyColors val="0"/>
        <c:ser>
          <c:idx val="0"/>
          <c:order val="0"/>
          <c:tx>
            <c:strRef>
              <c:f>'G-IE-6 ConEnerXUnPro,96-21'!$O$4</c:f>
              <c:strCache>
                <c:ptCount val="1"/>
                <c:pt idx="0">
                  <c:v>KWh /B/. PIB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'G-IE-6 ConEnerXUnPro,96-21'!$N$32:$N$48</c:f>
              <c:numCache/>
            </c:numRef>
          </c:cat>
          <c:val>
            <c:numRef>
              <c:f>'G-IE-6 ConEnerXUnPro,96-21'!$O$32:$O$48</c:f>
              <c:numCache/>
            </c:numRef>
          </c:val>
          <c:smooth val="0"/>
        </c:ser>
        <c:marker val="1"/>
        <c:axId val="19775661"/>
        <c:axId val="43763222"/>
      </c:lineChart>
      <c:catAx>
        <c:axId val="19775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763222"/>
        <c:crossesAt val="0.26"/>
        <c:auto val="1"/>
        <c:lblOffset val="100"/>
        <c:tickLblSkip val="1"/>
        <c:noMultiLvlLbl val="0"/>
      </c:catAx>
      <c:valAx>
        <c:axId val="43763222"/>
        <c:scaling>
          <c:orientation val="minMax"/>
          <c:max val="0.38"/>
          <c:min val="0.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kWh /B/. PIB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75661"/>
        <c:crossesAt val="1"/>
        <c:crossBetween val="between"/>
        <c:dispUnits/>
        <c:majorUnit val="0.01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625"/>
          <c:y val="0.91575"/>
          <c:w val="0.4405"/>
          <c:h val="0.068"/>
        </c:manualLayout>
      </c:layout>
      <c:overlay val="0"/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12700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2475"/>
          <c:w val="0.92875"/>
          <c:h val="0.824"/>
        </c:manualLayout>
      </c:layout>
      <c:barChart>
        <c:barDir val="col"/>
        <c:grouping val="clustered"/>
        <c:varyColors val="0"/>
        <c:ser>
          <c:idx val="7"/>
          <c:order val="0"/>
          <c:tx>
            <c:v>OI/PIB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'G-IE-7 OfInEnXPIB,96-21'!$O$4:$O$18</c:f>
              <c:numCache/>
            </c:numRef>
          </c:cat>
          <c:val>
            <c:numRef>
              <c:f>'G-IE-7 OfInEnXPIB,96-21'!$R$4:$R$18</c:f>
              <c:numCache/>
            </c:numRef>
          </c:val>
        </c:ser>
        <c:gapWidth val="50"/>
        <c:axId val="58324679"/>
        <c:axId val="55160064"/>
      </c:barChart>
      <c:catAx>
        <c:axId val="58324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60064"/>
        <c:crosses val="autoZero"/>
        <c:auto val="1"/>
        <c:lblOffset val="100"/>
        <c:tickLblSkip val="1"/>
        <c:noMultiLvlLbl val="0"/>
      </c:catAx>
      <c:valAx>
        <c:axId val="55160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Bep / MM B/. de 2007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24679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5"/>
          <c:y val="0.9245"/>
          <c:w val="0.4195"/>
          <c:h val="0.062"/>
        </c:manualLayout>
      </c:layout>
      <c:overlay val="0"/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19"/>
          <c:w val="0.94075"/>
          <c:h val="0.846"/>
        </c:manualLayout>
      </c:layout>
      <c:barChart>
        <c:barDir val="col"/>
        <c:grouping val="clustered"/>
        <c:varyColors val="0"/>
        <c:ser>
          <c:idx val="7"/>
          <c:order val="0"/>
          <c:tx>
            <c:v>OI/PIB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'G-IE-7 OfInEnXPIB,96-21'!$O$34:$O$50</c:f>
              <c:numCache/>
            </c:numRef>
          </c:cat>
          <c:val>
            <c:numRef>
              <c:f>'G-IE-7 OfInEnXPIB,96-21'!$R$34:$R$50</c:f>
              <c:numCache/>
            </c:numRef>
          </c:val>
        </c:ser>
        <c:gapWidth val="50"/>
        <c:axId val="26678529"/>
        <c:axId val="38780170"/>
      </c:barChart>
      <c:catAx>
        <c:axId val="26678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80170"/>
        <c:crosses val="autoZero"/>
        <c:auto val="1"/>
        <c:lblOffset val="100"/>
        <c:tickLblSkip val="1"/>
        <c:noMultiLvlLbl val="0"/>
      </c:catAx>
      <c:valAx>
        <c:axId val="38780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Bep / MM B/. de 1996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8529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275"/>
          <c:y val="0.93125"/>
          <c:w val="0.40775"/>
          <c:h val="0.05225"/>
        </c:manualLayout>
      </c:layout>
      <c:overlay val="0"/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1625"/>
          <c:w val="0.96525"/>
          <c:h val="0.8695"/>
        </c:manualLayout>
      </c:layout>
      <c:barChart>
        <c:barDir val="col"/>
        <c:grouping val="clustered"/>
        <c:varyColors val="0"/>
        <c:ser>
          <c:idx val="7"/>
          <c:order val="0"/>
          <c:tx>
            <c:v>OIEPC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'G-IE-8 OfInEnPerCap,96-21'!$P$4:$P$29</c:f>
              <c:numCache/>
            </c:numRef>
          </c:cat>
          <c:val>
            <c:numRef>
              <c:f>'G-IE-8 OfInEnPerCap,96-21'!$S$4:$S$29</c:f>
              <c:numCache/>
            </c:numRef>
          </c:val>
        </c:ser>
        <c:gapWidth val="50"/>
        <c:axId val="13477211"/>
        <c:axId val="54186036"/>
      </c:barChart>
      <c:catAx>
        <c:axId val="13477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86036"/>
        <c:crosses val="autoZero"/>
        <c:auto val="1"/>
        <c:lblOffset val="100"/>
        <c:tickLblSkip val="1"/>
        <c:noMultiLvlLbl val="0"/>
      </c:catAx>
      <c:valAx>
        <c:axId val="54186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Bep / 1,000 Hab.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77211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75"/>
          <c:y val="0.9425"/>
          <c:w val="0.36425"/>
          <c:h val="0.04525"/>
        </c:manualLayout>
      </c:layout>
      <c:overlay val="0"/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1625"/>
          <c:w val="0.92975"/>
          <c:h val="0.8655"/>
        </c:manualLayout>
      </c:layout>
      <c:lineChart>
        <c:grouping val="standard"/>
        <c:varyColors val="0"/>
        <c:ser>
          <c:idx val="7"/>
          <c:order val="0"/>
          <c:tx>
            <c:v>Elasticidad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'G-IE-9 Elast,97-21'!$N$6:$N$19</c:f>
              <c:numCache/>
            </c:numRef>
          </c:cat>
          <c:val>
            <c:numRef>
              <c:f>'G-IE-9 Elast,97-21'!$Q$6:$Q$19</c:f>
              <c:numCache/>
            </c:numRef>
          </c:val>
          <c:smooth val="0"/>
        </c:ser>
        <c:marker val="1"/>
        <c:axId val="17912277"/>
        <c:axId val="26992766"/>
      </c:lineChart>
      <c:catAx>
        <c:axId val="17912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92766"/>
        <c:crosses val="autoZero"/>
        <c:auto val="1"/>
        <c:lblOffset val="100"/>
        <c:tickLblSkip val="1"/>
        <c:noMultiLvlLbl val="0"/>
      </c:catAx>
      <c:valAx>
        <c:axId val="26992766"/>
        <c:scaling>
          <c:orientation val="minMax"/>
          <c:min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OI/PIB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_ ;[Red]\-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12277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50000">
              <a:srgbClr val="FFFFCC"/>
            </a:gs>
            <a:gs pos="100000">
              <a:srgbClr val="FFFF00"/>
            </a:gs>
          </a:gsLst>
          <a:lin ang="5400000" scaled="1"/>
        </a:gradFill>
        <a:ln w="12700">
          <a:solidFill>
            <a:srgbClr val="CCFFFF"/>
          </a:solidFill>
        </a:ln>
      </c:spPr>
    </c:plotArea>
    <c:legend>
      <c:legendPos val="r"/>
      <c:layout>
        <c:manualLayout>
          <c:xMode val="edge"/>
          <c:yMode val="edge"/>
          <c:x val="0.27325"/>
          <c:y val="0.9455"/>
          <c:w val="0.42075"/>
          <c:h val="0.04225"/>
        </c:manualLayout>
      </c:layout>
      <c:overlay val="0"/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455"/>
          <c:h val="0.89675"/>
        </c:manualLayout>
      </c:layout>
      <c:lineChart>
        <c:grouping val="stacked"/>
        <c:varyColors val="0"/>
        <c:ser>
          <c:idx val="0"/>
          <c:order val="0"/>
          <c:tx>
            <c:strRef>
              <c:f>'G-IE-1 PIBTotPreMerc07,07-21'!$N$4</c:f>
              <c:strCache>
                <c:ptCount val="1"/>
                <c:pt idx="0">
                  <c:v>PRODUCTO INTERNO BRUTO 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'G-IE-1 PIBTotPreMerc07,07-21'!$N$35:$N$51</c:f>
              <c:numCache/>
            </c:numRef>
          </c:cat>
          <c:val>
            <c:numRef>
              <c:f>'G-IE-1 PIBTotPreMerc07,07-21'!$O$35:$O$51</c:f>
              <c:numCache/>
            </c:numRef>
          </c:val>
          <c:smooth val="0"/>
        </c:ser>
        <c:marker val="1"/>
        <c:axId val="10590265"/>
        <c:axId val="28203522"/>
      </c:lineChart>
      <c:catAx>
        <c:axId val="10590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03522"/>
        <c:crossesAt val="9000"/>
        <c:auto val="1"/>
        <c:lblOffset val="100"/>
        <c:tickLblSkip val="1"/>
        <c:noMultiLvlLbl val="0"/>
      </c:catAx>
      <c:valAx>
        <c:axId val="28203522"/>
        <c:scaling>
          <c:orientation val="minMax"/>
          <c:max val="26500"/>
          <c:min val="9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90265"/>
        <c:crossesAt val="1"/>
        <c:crossBetween val="between"/>
        <c:dispUnits/>
        <c:majorUnit val="1500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12700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17"/>
          <c:w val="0.92775"/>
          <c:h val="0.8625"/>
        </c:manualLayout>
      </c:layout>
      <c:lineChart>
        <c:grouping val="standard"/>
        <c:varyColors val="0"/>
        <c:ser>
          <c:idx val="7"/>
          <c:order val="0"/>
          <c:tx>
            <c:v>Elasticidad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'G-IE-9 Elast,97-21'!$N$39:$N$54</c:f>
              <c:numCache/>
            </c:numRef>
          </c:cat>
          <c:val>
            <c:numRef>
              <c:f>'G-IE-9 Elast,97-21'!$Q$39:$Q$54</c:f>
              <c:numCache/>
            </c:numRef>
          </c:val>
          <c:smooth val="0"/>
        </c:ser>
        <c:marker val="1"/>
        <c:axId val="41608303"/>
        <c:axId val="38930408"/>
      </c:lineChart>
      <c:catAx>
        <c:axId val="41608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30408"/>
        <c:crosses val="autoZero"/>
        <c:auto val="1"/>
        <c:lblOffset val="100"/>
        <c:tickLblSkip val="1"/>
        <c:noMultiLvlLbl val="0"/>
      </c:catAx>
      <c:valAx>
        <c:axId val="38930408"/>
        <c:scaling>
          <c:orientation val="minMax"/>
          <c:min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OI/PIB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_ ;[Red]\-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08303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05"/>
          <c:y val="0.9465"/>
          <c:w val="0.42225"/>
          <c:h val="0.044"/>
        </c:manualLayout>
      </c:layout>
      <c:overlay val="0"/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195"/>
          <c:w val="0.9555"/>
          <c:h val="0.83975"/>
        </c:manualLayout>
      </c:layout>
      <c:lineChart>
        <c:grouping val="standard"/>
        <c:varyColors val="0"/>
        <c:ser>
          <c:idx val="7"/>
          <c:order val="0"/>
          <c:tx>
            <c:v>Intensidad Energética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'G-IE-10 IntEner,96-21'!$N$5:$N$19</c:f>
              <c:numCache/>
            </c:numRef>
          </c:cat>
          <c:val>
            <c:numRef>
              <c:f>'G-IE-10 IntEner,96-21'!$Q$5:$Q$19</c:f>
              <c:numCache/>
            </c:numRef>
          </c:val>
          <c:smooth val="0"/>
        </c:ser>
        <c:marker val="1"/>
        <c:axId val="14829353"/>
        <c:axId val="66355314"/>
      </c:lineChart>
      <c:catAx>
        <c:axId val="14829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55314"/>
        <c:crossesAt val="0.36000000000000004"/>
        <c:auto val="1"/>
        <c:lblOffset val="100"/>
        <c:tickLblSkip val="1"/>
        <c:noMultiLvlLbl val="0"/>
      </c:catAx>
      <c:valAx>
        <c:axId val="66355314"/>
        <c:scaling>
          <c:orientation val="minMax"/>
          <c:max val="0.99"/>
          <c:min val="0.36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Bep / Miles de PIB en B/.2007</a:t>
                </a:r>
              </a:p>
            </c:rich>
          </c:tx>
          <c:layout>
            <c:manualLayout>
              <c:xMode val="factor"/>
              <c:yMode val="factor"/>
              <c:x val="-0.01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_ ;[Red]\-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29353"/>
        <c:crossesAt val="1"/>
        <c:crossBetween val="between"/>
        <c:dispUnits/>
        <c:majorUnit val="0.03"/>
        <c:minorUnit val="0.01"/>
      </c:valAx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025"/>
          <c:y val="0.90625"/>
          <c:w val="0.41275"/>
          <c:h val="0.051"/>
        </c:manualLayout>
      </c:layout>
      <c:overlay val="0"/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205"/>
          <c:w val="0.94975"/>
          <c:h val="0.8365"/>
        </c:manualLayout>
      </c:layout>
      <c:lineChart>
        <c:grouping val="standard"/>
        <c:varyColors val="0"/>
        <c:ser>
          <c:idx val="7"/>
          <c:order val="0"/>
          <c:tx>
            <c:v>Intensidad Energética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'G-IE-10 IntEner,96-21'!$N$37:$N$53</c:f>
              <c:numCache/>
            </c:numRef>
          </c:cat>
          <c:val>
            <c:numRef>
              <c:f>'G-IE-10 IntEner,96-21'!$Q$37:$Q$53</c:f>
              <c:numCache/>
            </c:numRef>
          </c:val>
          <c:smooth val="0"/>
        </c:ser>
        <c:marker val="1"/>
        <c:axId val="60326915"/>
        <c:axId val="6071324"/>
      </c:lineChart>
      <c:catAx>
        <c:axId val="60326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1324"/>
        <c:crossesAt val="1"/>
        <c:auto val="1"/>
        <c:lblOffset val="100"/>
        <c:tickLblSkip val="1"/>
        <c:noMultiLvlLbl val="0"/>
      </c:catAx>
      <c:valAx>
        <c:axId val="6071324"/>
        <c:scaling>
          <c:orientation val="minMax"/>
          <c:max val="1.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Bep / Miles de PIB en B/.1996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_ ;[Red]\-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26915"/>
        <c:crossesAt val="1"/>
        <c:crossBetween val="between"/>
        <c:dispUnits/>
        <c:majorUnit val="0.05"/>
        <c:minorUnit val="0.01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975"/>
          <c:y val="0.927"/>
          <c:w val="0.46275"/>
          <c:h val="0.0535"/>
        </c:manualLayout>
      </c:layout>
      <c:overlay val="0"/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v>'G-IE-2 Com%PIB,15'!#REF!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'G-IE-2 Com%PIB,21'!#REF!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'G-IE-2 Com%PIB,21'!#REF!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505107"/>
        <c:axId val="2783916"/>
      </c:lineChart>
      <c:catAx>
        <c:axId val="52505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3916"/>
        <c:crossesAt val="0"/>
        <c:auto val="1"/>
        <c:lblOffset val="100"/>
        <c:tickLblSkip val="1"/>
        <c:noMultiLvlLbl val="0"/>
      </c:catAx>
      <c:valAx>
        <c:axId val="27839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05107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5"/>
          <c:y val="0.297"/>
          <c:w val="0.76025"/>
          <c:h val="0.41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CC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FFFF"/>
                  </a:gs>
                  <a:gs pos="100000">
                    <a:srgbClr val="CC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CC99FF"/>
                  </a:gs>
                  <a:gs pos="100000">
                    <a:srgbClr val="80008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66CC"/>
                  </a:gs>
                  <a:gs pos="100000">
                    <a:srgbClr val="99CC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FF99CC"/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gradFill rotWithShape="1">
                <a:gsLst>
                  <a:gs pos="0">
                    <a:srgbClr val="339966"/>
                  </a:gs>
                  <a:gs pos="100000">
                    <a:srgbClr val="CCFFCC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gradFill rotWithShape="1">
                <a:gsLst>
                  <a:gs pos="0">
                    <a:srgbClr val="FF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Trasporte y Telecom.
12.0%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'G-IE-2 Com%PIB,21'!$M$4:$M$16</c:f>
              <c:strCache/>
            </c:strRef>
          </c:cat>
          <c:val>
            <c:numRef>
              <c:f>'G-IE-2 Com%PIB,21'!$N$4:$N$16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ENERGÍA ENTREGADA AL SISTEMA
1989 - 2000
(Promedio Total Diario)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5055245"/>
        <c:axId val="24170614"/>
      </c:barChart>
      <c:catAx>
        <c:axId val="25055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24170614"/>
        <c:crosses val="autoZero"/>
        <c:auto val="1"/>
        <c:lblOffset val="100"/>
        <c:tickLblSkip val="1"/>
        <c:noMultiLvlLbl val="0"/>
      </c:catAx>
      <c:valAx>
        <c:axId val="24170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25055245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IPC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'G-IE-3 IndPreCons,70-21'!#REF!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'G-IE-3 IndPreCons,70-21'!#REF!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208935"/>
        <c:axId val="11662688"/>
      </c:lineChart>
      <c:lineChart>
        <c:grouping val="standard"/>
        <c:varyColors val="0"/>
        <c:ser>
          <c:idx val="1"/>
          <c:order val="1"/>
          <c:tx>
            <c:v>Inflación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'G-IE-3 IndPreCons,70-21'!#REF!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'G-IE-3 IndPreCons,70-21'!#REF!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855329"/>
        <c:axId val="5153642"/>
      </c:lineChart>
      <c:catAx>
        <c:axId val="16208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62688"/>
        <c:crosses val="autoZero"/>
        <c:auto val="1"/>
        <c:lblOffset val="100"/>
        <c:tickLblSkip val="1"/>
        <c:noMultiLvlLbl val="0"/>
      </c:catAx>
      <c:valAx>
        <c:axId val="11662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de Precios al Consumidor (IPC)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08935"/>
        <c:crossesAt val="1"/>
        <c:crossBetween val="between"/>
        <c:dispUnits/>
      </c:valAx>
      <c:catAx>
        <c:axId val="37855329"/>
        <c:scaling>
          <c:orientation val="minMax"/>
        </c:scaling>
        <c:axPos val="b"/>
        <c:delete val="1"/>
        <c:majorTickMark val="out"/>
        <c:minorTickMark val="none"/>
        <c:tickLblPos val="nextTo"/>
        <c:crossAx val="5153642"/>
        <c:crosses val="autoZero"/>
        <c:auto val="1"/>
        <c:lblOffset val="100"/>
        <c:tickLblSkip val="1"/>
        <c:noMultiLvlLbl val="0"/>
      </c:catAx>
      <c:valAx>
        <c:axId val="5153642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Inflación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55329"/>
        <c:crosses val="max"/>
        <c:crossBetween val="between"/>
        <c:dispUnits/>
        <c:majorUnit val="1"/>
        <c:minorUnit val="0.1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C0C0C0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5625"/>
          <c:w val="0.91225"/>
          <c:h val="0.785"/>
        </c:manualLayout>
      </c:layout>
      <c:lineChart>
        <c:grouping val="standard"/>
        <c:varyColors val="0"/>
        <c:ser>
          <c:idx val="2"/>
          <c:order val="1"/>
          <c:tx>
            <c:v>IPC desde 2003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'G-IE-3 IndPreCons,70-21'!$L$39:$L$49</c:f>
              <c:numCache/>
            </c:numRef>
          </c:cat>
          <c:val>
            <c:numRef>
              <c:f>'G-IE-3 IndPreCons,70-21'!$N$39:$N$49</c:f>
              <c:numCache/>
            </c:numRef>
          </c:val>
          <c:smooth val="0"/>
        </c:ser>
        <c:marker val="1"/>
        <c:axId val="46382779"/>
        <c:axId val="14791828"/>
      </c:lineChart>
      <c:lineChart>
        <c:grouping val="standard"/>
        <c:varyColors val="0"/>
        <c:ser>
          <c:idx val="1"/>
          <c:order val="0"/>
          <c:tx>
            <c:v>Inflacion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'G-IE-3 IndPreCons,70-21'!$L$39:$L$49</c:f>
              <c:numCache/>
            </c:numRef>
          </c:cat>
          <c:val>
            <c:numRef>
              <c:f>'G-IE-3 IndPreCons,70-21'!$O$39:$O$49</c:f>
              <c:numCache/>
            </c:numRef>
          </c:val>
          <c:smooth val="0"/>
        </c:ser>
        <c:marker val="1"/>
        <c:axId val="66017589"/>
        <c:axId val="57287390"/>
      </c:lineChart>
      <c:catAx>
        <c:axId val="46382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91828"/>
        <c:crossesAt val="100"/>
        <c:auto val="1"/>
        <c:lblOffset val="100"/>
        <c:tickLblSkip val="1"/>
        <c:noMultiLvlLbl val="0"/>
      </c:catAx>
      <c:valAx>
        <c:axId val="14791828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de Precios al Consumidor (IPC)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82779"/>
        <c:crossesAt val="1"/>
        <c:crossBetween val="between"/>
        <c:dispUnits/>
        <c:majorUnit val="2"/>
      </c:valAx>
      <c:catAx>
        <c:axId val="66017589"/>
        <c:scaling>
          <c:orientation val="minMax"/>
        </c:scaling>
        <c:axPos val="b"/>
        <c:delete val="1"/>
        <c:majorTickMark val="out"/>
        <c:minorTickMark val="none"/>
        <c:tickLblPos val="nextTo"/>
        <c:crossAx val="57287390"/>
        <c:crossesAt val="0"/>
        <c:auto val="1"/>
        <c:lblOffset val="100"/>
        <c:tickLblSkip val="1"/>
        <c:noMultiLvlLbl val="0"/>
      </c:catAx>
      <c:valAx>
        <c:axId val="572873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Inflación %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 ;[Red]\-#,##0.0\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17589"/>
        <c:crosses val="max"/>
        <c:crossBetween val="between"/>
        <c:dispUnits/>
        <c:minorUnit val="0.5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"/>
          <c:y val="0.90975"/>
          <c:w val="0.6725"/>
          <c:h val="0.0615"/>
        </c:manualLayout>
      </c:layout>
      <c:overlay val="0"/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5625"/>
          <c:w val="0.90275"/>
          <c:h val="0.785"/>
        </c:manualLayout>
      </c:layout>
      <c:lineChart>
        <c:grouping val="standard"/>
        <c:varyColors val="0"/>
        <c:ser>
          <c:idx val="0"/>
          <c:order val="0"/>
          <c:tx>
            <c:v>IPC hasta 2003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'G-IE-3 IndPreCons,70-21'!$L$6:$L$39</c:f>
              <c:numCache/>
            </c:numRef>
          </c:cat>
          <c:val>
            <c:numRef>
              <c:f>'G-IE-3 IndPreCons,70-21'!$M$6:$M$41</c:f>
              <c:numCache/>
            </c:numRef>
          </c:val>
          <c:smooth val="0"/>
        </c:ser>
        <c:marker val="1"/>
        <c:axId val="45824463"/>
        <c:axId val="9766984"/>
      </c:lineChart>
      <c:lineChart>
        <c:grouping val="standard"/>
        <c:varyColors val="0"/>
        <c:ser>
          <c:idx val="1"/>
          <c:order val="1"/>
          <c:tx>
            <c:v>Inflacion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'G-IE-3 IndPreCons,70-21'!$L$6:$L$39</c:f>
              <c:numCache/>
            </c:numRef>
          </c:cat>
          <c:val>
            <c:numRef>
              <c:f>'G-IE-3 IndPreCons,70-21'!$O$6:$O$39</c:f>
              <c:numCache/>
            </c:numRef>
          </c:val>
          <c:smooth val="0"/>
        </c:ser>
        <c:marker val="1"/>
        <c:axId val="20793993"/>
        <c:axId val="52928210"/>
      </c:lineChart>
      <c:catAx>
        <c:axId val="45824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66984"/>
        <c:crosses val="autoZero"/>
        <c:auto val="1"/>
        <c:lblOffset val="100"/>
        <c:tickLblSkip val="2"/>
        <c:noMultiLvlLbl val="0"/>
      </c:catAx>
      <c:valAx>
        <c:axId val="9766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de Precios al Consumidor (IPC)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24463"/>
        <c:crossesAt val="1"/>
        <c:crossBetween val="between"/>
        <c:dispUnits/>
      </c:valAx>
      <c:catAx>
        <c:axId val="20793993"/>
        <c:scaling>
          <c:orientation val="minMax"/>
        </c:scaling>
        <c:axPos val="b"/>
        <c:delete val="1"/>
        <c:majorTickMark val="out"/>
        <c:minorTickMark val="none"/>
        <c:tickLblPos val="nextTo"/>
        <c:crossAx val="52928210"/>
        <c:crosses val="autoZero"/>
        <c:auto val="1"/>
        <c:lblOffset val="100"/>
        <c:tickLblSkip val="1"/>
        <c:noMultiLvlLbl val="0"/>
      </c:catAx>
      <c:valAx>
        <c:axId val="52928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Inflación %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93993"/>
        <c:crosses val="max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75"/>
          <c:y val="0.90975"/>
          <c:w val="0.74925"/>
          <c:h val="0.0615"/>
        </c:manualLayout>
      </c:layout>
      <c:overlay val="0"/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555"/>
          <c:w val="0.88725"/>
          <c:h val="0.78"/>
        </c:manualLayout>
      </c:layout>
      <c:lineChart>
        <c:grouping val="standard"/>
        <c:varyColors val="0"/>
        <c:ser>
          <c:idx val="2"/>
          <c:order val="1"/>
          <c:tx>
            <c:v>IPC desde 2013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'G-IE-3 IndPreCons,70-21'!$Q$6:$Q$14</c:f>
              <c:numCache/>
            </c:numRef>
          </c:cat>
          <c:val>
            <c:numRef>
              <c:f>'G-IE-3 IndPreCons,70-21'!$R$6:$R$14</c:f>
              <c:numCache/>
            </c:numRef>
          </c:val>
          <c:smooth val="0"/>
        </c:ser>
        <c:marker val="1"/>
        <c:axId val="6591843"/>
        <c:axId val="59326588"/>
      </c:lineChart>
      <c:lineChart>
        <c:grouping val="standard"/>
        <c:varyColors val="0"/>
        <c:ser>
          <c:idx val="1"/>
          <c:order val="0"/>
          <c:tx>
            <c:strRef>
              <c:f>'G-IE-3 IndPreCons,70-21'!$S$3:$S$5</c:f>
              <c:strCache>
                <c:ptCount val="1"/>
                <c:pt idx="0">
                  <c:v>Inflación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'G-IE-3 IndPreCons,70-21'!$Q$6:$Q$11</c:f>
              <c:numCache/>
            </c:numRef>
          </c:cat>
          <c:val>
            <c:numRef>
              <c:f>'G-IE-3 IndPreCons,70-21'!$S$6:$S$14</c:f>
              <c:numCache/>
            </c:numRef>
          </c:val>
          <c:smooth val="0"/>
        </c:ser>
        <c:marker val="1"/>
        <c:axId val="64177245"/>
        <c:axId val="40724294"/>
      </c:lineChart>
      <c:catAx>
        <c:axId val="6591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26588"/>
        <c:crossesAt val="100"/>
        <c:auto val="1"/>
        <c:lblOffset val="100"/>
        <c:tickLblSkip val="1"/>
        <c:noMultiLvlLbl val="0"/>
      </c:catAx>
      <c:valAx>
        <c:axId val="59326588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de Precios al Consumidor (IPC)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1843"/>
        <c:crossesAt val="1"/>
        <c:crossBetween val="between"/>
        <c:dispUnits/>
        <c:majorUnit val="2"/>
      </c:valAx>
      <c:catAx>
        <c:axId val="64177245"/>
        <c:scaling>
          <c:orientation val="minMax"/>
        </c:scaling>
        <c:axPos val="b"/>
        <c:delete val="1"/>
        <c:majorTickMark val="out"/>
        <c:minorTickMark val="none"/>
        <c:tickLblPos val="nextTo"/>
        <c:crossAx val="40724294"/>
        <c:crosses val="autoZero"/>
        <c:auto val="1"/>
        <c:lblOffset val="100"/>
        <c:tickLblSkip val="1"/>
        <c:noMultiLvlLbl val="0"/>
      </c:catAx>
      <c:valAx>
        <c:axId val="40724294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Inflación %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;[Red]\-#,##0.0\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77245"/>
        <c:crosses val="max"/>
        <c:crossBetween val="between"/>
        <c:dispUnits/>
        <c:minorUnit val="0.5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725"/>
          <c:y val="0.90725"/>
          <c:w val="0.671"/>
          <c:h val="0.063"/>
        </c:manualLayout>
      </c:layout>
      <c:overlay val="0"/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0.10025</cdr:x>
      <cdr:y>0.15</cdr:y>
    </cdr:from>
    <cdr:to>
      <cdr:x>0.10025</cdr:x>
      <cdr:y>0.15</cdr:y>
    </cdr:to>
    <cdr:sp>
      <cdr:nvSpPr>
        <cdr:cNvPr id="1" name="Text Box 1"/>
        <cdr:cNvSpPr txBox="1">
          <a:spLocks noChangeArrowheads="1"/>
        </cdr:cNvSpPr>
      </cdr:nvSpPr>
      <cdr:spPr>
        <a:xfrm>
          <a:off x="704850" y="647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Tasa Promedio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1980 - 2000 = 2.9 %</a:t>
          </a:r>
        </a:p>
      </cdr:txBody>
    </cdr:sp>
  </cdr:relSizeAnchor>
  <cdr:relSizeAnchor xmlns:cdr="http://schemas.openxmlformats.org/drawingml/2006/chartDrawing">
    <cdr:from>
      <cdr:x>0.298</cdr:x>
      <cdr:y>0.58075</cdr:y>
    </cdr:from>
    <cdr:to>
      <cdr:x>0.298</cdr:x>
      <cdr:y>0.58075</cdr:y>
    </cdr:to>
    <cdr:sp>
      <cdr:nvSpPr>
        <cdr:cNvPr id="2" name="Text Box 2"/>
        <cdr:cNvSpPr txBox="1">
          <a:spLocks noChangeArrowheads="1"/>
        </cdr:cNvSpPr>
      </cdr:nvSpPr>
      <cdr:spPr>
        <a:xfrm>
          <a:off x="2105025" y="2533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Crisis Política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Económica</a:t>
          </a:r>
        </a:p>
      </cdr:txBody>
    </cdr:sp>
  </cdr:relSizeAnchor>
  <cdr:relSizeAnchor xmlns:cdr="http://schemas.openxmlformats.org/drawingml/2006/chartDrawing">
    <cdr:from>
      <cdr:x>0.28025</cdr:x>
      <cdr:y>0.79175</cdr:y>
    </cdr:from>
    <cdr:to>
      <cdr:x>0.28025</cdr:x>
      <cdr:y>0.79175</cdr:y>
    </cdr:to>
    <cdr:sp>
      <cdr:nvSpPr>
        <cdr:cNvPr id="3" name="Text Box 3"/>
        <cdr:cNvSpPr txBox="1">
          <a:spLocks noChangeArrowheads="1"/>
        </cdr:cNvSpPr>
      </cdr:nvSpPr>
      <cdr:spPr>
        <a:xfrm>
          <a:off x="1981200" y="3457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Tasa = -0.7 %</a:t>
          </a:r>
        </a:p>
      </cdr:txBody>
    </cdr:sp>
  </cdr:relSizeAnchor>
  <cdr:relSizeAnchor xmlns:cdr="http://schemas.openxmlformats.org/drawingml/2006/chartDrawing">
    <cdr:from>
      <cdr:x>0.55625</cdr:x>
      <cdr:y>0.7875</cdr:y>
    </cdr:from>
    <cdr:to>
      <cdr:x>0.55625</cdr:x>
      <cdr:y>0.7875</cdr:y>
    </cdr:to>
    <cdr:sp>
      <cdr:nvSpPr>
        <cdr:cNvPr id="4" name="Text Box 4"/>
        <cdr:cNvSpPr txBox="1">
          <a:spLocks noChangeArrowheads="1"/>
        </cdr:cNvSpPr>
      </cdr:nvSpPr>
      <cdr:spPr>
        <a:xfrm>
          <a:off x="3933825" y="3438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Tasa = 3.4 %</a:t>
          </a:r>
        </a:p>
      </cdr:txBody>
    </cdr:sp>
  </cdr:relSizeAnchor>
  <cdr:relSizeAnchor xmlns:cdr="http://schemas.openxmlformats.org/drawingml/2006/chartDrawing">
    <cdr:from>
      <cdr:x>0.63075</cdr:x>
      <cdr:y>0.67175</cdr:y>
    </cdr:from>
    <cdr:to>
      <cdr:x>0.88075</cdr:x>
      <cdr:y>0.80325</cdr:y>
    </cdr:to>
    <cdr:sp>
      <cdr:nvSpPr>
        <cdr:cNvPr id="5" name="Text Box 5"/>
        <cdr:cNvSpPr txBox="1">
          <a:spLocks noChangeArrowheads="1"/>
        </cdr:cNvSpPr>
      </cdr:nvSpPr>
      <cdr:spPr>
        <a:xfrm>
          <a:off x="4457700" y="2933700"/>
          <a:ext cx="17716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Tasa  Promedio
</a:t>
          </a:r>
          <a:r>
            <a:rPr lang="en-US" cap="none" sz="95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2021 - 2007 = -7,7</a:t>
          </a:r>
          <a:r>
            <a:rPr lang="en-US" cap="none" sz="95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95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95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95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95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95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95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95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12</xdr:col>
      <xdr:colOff>19050</xdr:colOff>
      <xdr:row>24</xdr:row>
      <xdr:rowOff>171450</xdr:rowOff>
    </xdr:to>
    <xdr:graphicFrame>
      <xdr:nvGraphicFramePr>
        <xdr:cNvPr id="1" name="Chart 1025"/>
        <xdr:cNvGraphicFramePr/>
      </xdr:nvGraphicFramePr>
      <xdr:xfrm>
        <a:off x="190500" y="571500"/>
        <a:ext cx="82677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30</xdr:row>
      <xdr:rowOff>0</xdr:rowOff>
    </xdr:from>
    <xdr:to>
      <xdr:col>12</xdr:col>
      <xdr:colOff>19050</xdr:colOff>
      <xdr:row>50</xdr:row>
      <xdr:rowOff>0</xdr:rowOff>
    </xdr:to>
    <xdr:graphicFrame>
      <xdr:nvGraphicFramePr>
        <xdr:cNvPr id="2" name="Chart 1025"/>
        <xdr:cNvGraphicFramePr/>
      </xdr:nvGraphicFramePr>
      <xdr:xfrm>
        <a:off x="190500" y="5715000"/>
        <a:ext cx="826770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9</xdr:col>
      <xdr:colOff>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180975" y="5715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0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180975" y="5524500"/>
        <a:ext cx="571500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28575</xdr:rowOff>
    </xdr:from>
    <xdr:to>
      <xdr:col>11</xdr:col>
      <xdr:colOff>19050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161925" y="600075"/>
        <a:ext cx="71818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30</xdr:row>
      <xdr:rowOff>9525</xdr:rowOff>
    </xdr:from>
    <xdr:to>
      <xdr:col>9</xdr:col>
      <xdr:colOff>695325</xdr:colOff>
      <xdr:row>50</xdr:row>
      <xdr:rowOff>0</xdr:rowOff>
    </xdr:to>
    <xdr:graphicFrame>
      <xdr:nvGraphicFramePr>
        <xdr:cNvPr id="2" name="Chart 1"/>
        <xdr:cNvGraphicFramePr/>
      </xdr:nvGraphicFramePr>
      <xdr:xfrm>
        <a:off x="190500" y="5724525"/>
        <a:ext cx="640080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4</xdr:row>
      <xdr:rowOff>0</xdr:rowOff>
    </xdr:from>
    <xdr:to>
      <xdr:col>11</xdr:col>
      <xdr:colOff>695325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381000" y="762000"/>
        <a:ext cx="76390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10</xdr:col>
      <xdr:colOff>561975</xdr:colOff>
      <xdr:row>59</xdr:row>
      <xdr:rowOff>0</xdr:rowOff>
    </xdr:to>
    <xdr:graphicFrame>
      <xdr:nvGraphicFramePr>
        <xdr:cNvPr id="2" name="Chart 1"/>
        <xdr:cNvGraphicFramePr/>
      </xdr:nvGraphicFramePr>
      <xdr:xfrm>
        <a:off x="180975" y="6477000"/>
        <a:ext cx="6991350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12</xdr:col>
      <xdr:colOff>676275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80975" y="762000"/>
        <a:ext cx="85344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0</xdr:rowOff>
    </xdr:from>
    <xdr:to>
      <xdr:col>10</xdr:col>
      <xdr:colOff>666750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76200" y="762000"/>
        <a:ext cx="76581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9</xdr:col>
      <xdr:colOff>581025</xdr:colOff>
      <xdr:row>63</xdr:row>
      <xdr:rowOff>0</xdr:rowOff>
    </xdr:to>
    <xdr:graphicFrame>
      <xdr:nvGraphicFramePr>
        <xdr:cNvPr id="2" name="Chart 1"/>
        <xdr:cNvGraphicFramePr/>
      </xdr:nvGraphicFramePr>
      <xdr:xfrm>
        <a:off x="180975" y="7048500"/>
        <a:ext cx="6753225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9525</xdr:rowOff>
    </xdr:from>
    <xdr:to>
      <xdr:col>11</xdr:col>
      <xdr:colOff>647700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219075" y="771525"/>
        <a:ext cx="76104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9</xdr:col>
      <xdr:colOff>600075</xdr:colOff>
      <xdr:row>59</xdr:row>
      <xdr:rowOff>0</xdr:rowOff>
    </xdr:to>
    <xdr:graphicFrame>
      <xdr:nvGraphicFramePr>
        <xdr:cNvPr id="2" name="Chart 1"/>
        <xdr:cNvGraphicFramePr/>
      </xdr:nvGraphicFramePr>
      <xdr:xfrm>
        <a:off x="180975" y="6858000"/>
        <a:ext cx="617220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0.10025</cdr:x>
      <cdr:y>0.152</cdr:y>
    </cdr:from>
    <cdr:to>
      <cdr:x>0.10025</cdr:x>
      <cdr:y>0.152</cdr:y>
    </cdr:to>
    <cdr:sp>
      <cdr:nvSpPr>
        <cdr:cNvPr id="1" name="Text Box 1"/>
        <cdr:cNvSpPr txBox="1">
          <a:spLocks noChangeArrowheads="1"/>
        </cdr:cNvSpPr>
      </cdr:nvSpPr>
      <cdr:spPr>
        <a:xfrm>
          <a:off x="704850" y="571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Tasa Promedio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1980 - 2000 = 2.9 %</a:t>
          </a:r>
        </a:p>
      </cdr:txBody>
    </cdr:sp>
  </cdr:relSizeAnchor>
  <cdr:relSizeAnchor xmlns:cdr="http://schemas.openxmlformats.org/drawingml/2006/chartDrawing">
    <cdr:from>
      <cdr:x>0.298</cdr:x>
      <cdr:y>0.5785</cdr:y>
    </cdr:from>
    <cdr:to>
      <cdr:x>0.298</cdr:x>
      <cdr:y>0.5785</cdr:y>
    </cdr:to>
    <cdr:sp>
      <cdr:nvSpPr>
        <cdr:cNvPr id="2" name="Text Box 2"/>
        <cdr:cNvSpPr txBox="1">
          <a:spLocks noChangeArrowheads="1"/>
        </cdr:cNvSpPr>
      </cdr:nvSpPr>
      <cdr:spPr>
        <a:xfrm>
          <a:off x="2105025" y="2190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Crisis Política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Económica</a:t>
          </a:r>
        </a:p>
      </cdr:txBody>
    </cdr:sp>
  </cdr:relSizeAnchor>
  <cdr:relSizeAnchor xmlns:cdr="http://schemas.openxmlformats.org/drawingml/2006/chartDrawing">
    <cdr:from>
      <cdr:x>0.28025</cdr:x>
      <cdr:y>0.78525</cdr:y>
    </cdr:from>
    <cdr:to>
      <cdr:x>0.28025</cdr:x>
      <cdr:y>0.78525</cdr:y>
    </cdr:to>
    <cdr:sp>
      <cdr:nvSpPr>
        <cdr:cNvPr id="3" name="Text Box 3"/>
        <cdr:cNvSpPr txBox="1">
          <a:spLocks noChangeArrowheads="1"/>
        </cdr:cNvSpPr>
      </cdr:nvSpPr>
      <cdr:spPr>
        <a:xfrm>
          <a:off x="1981200" y="2981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Tasa = -0.7 %</a:t>
          </a:r>
        </a:p>
      </cdr:txBody>
    </cdr:sp>
  </cdr:relSizeAnchor>
  <cdr:relSizeAnchor xmlns:cdr="http://schemas.openxmlformats.org/drawingml/2006/chartDrawing">
    <cdr:from>
      <cdr:x>0.55625</cdr:x>
      <cdr:y>0.7805</cdr:y>
    </cdr:from>
    <cdr:to>
      <cdr:x>0.55625</cdr:x>
      <cdr:y>0.7805</cdr:y>
    </cdr:to>
    <cdr:sp>
      <cdr:nvSpPr>
        <cdr:cNvPr id="4" name="Text Box 4"/>
        <cdr:cNvSpPr txBox="1">
          <a:spLocks noChangeArrowheads="1"/>
        </cdr:cNvSpPr>
      </cdr:nvSpPr>
      <cdr:spPr>
        <a:xfrm>
          <a:off x="3933825" y="2962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Tasa = 3.4 %</a:t>
          </a:r>
        </a:p>
      </cdr:txBody>
    </cdr:sp>
  </cdr:relSizeAnchor>
  <cdr:relSizeAnchor xmlns:cdr="http://schemas.openxmlformats.org/drawingml/2006/chartDrawing">
    <cdr:from>
      <cdr:x>0.63075</cdr:x>
      <cdr:y>0.66525</cdr:y>
    </cdr:from>
    <cdr:to>
      <cdr:x>0.871</cdr:x>
      <cdr:y>0.7665</cdr:y>
    </cdr:to>
    <cdr:sp>
      <cdr:nvSpPr>
        <cdr:cNvPr id="5" name="Text Box 5"/>
        <cdr:cNvSpPr txBox="1">
          <a:spLocks noChangeArrowheads="1"/>
        </cdr:cNvSpPr>
      </cdr:nvSpPr>
      <cdr:spPr>
        <a:xfrm>
          <a:off x="4457700" y="2524125"/>
          <a:ext cx="17049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Tasa  Promedio
</a:t>
          </a:r>
          <a:r>
            <a:rPr lang="en-US" cap="none" sz="95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1996 - 2011 = 6.2
</a:t>
          </a:r>
          <a:r>
            <a:rPr lang="en-US" cap="none" sz="95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95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95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95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%
</a:t>
          </a:r>
          <a:r>
            <a:rPr lang="en-US" cap="none" sz="95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95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95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11</xdr:col>
      <xdr:colOff>28575</xdr:colOff>
      <xdr:row>25</xdr:row>
      <xdr:rowOff>180975</xdr:rowOff>
    </xdr:to>
    <xdr:graphicFrame>
      <xdr:nvGraphicFramePr>
        <xdr:cNvPr id="1" name="Chart 1"/>
        <xdr:cNvGraphicFramePr/>
      </xdr:nvGraphicFramePr>
      <xdr:xfrm>
        <a:off x="180975" y="571500"/>
        <a:ext cx="70770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28575</xdr:colOff>
      <xdr:row>51</xdr:row>
      <xdr:rowOff>180975</xdr:rowOff>
    </xdr:to>
    <xdr:graphicFrame>
      <xdr:nvGraphicFramePr>
        <xdr:cNvPr id="2" name="Chart 1"/>
        <xdr:cNvGraphicFramePr/>
      </xdr:nvGraphicFramePr>
      <xdr:xfrm>
        <a:off x="180975" y="6096000"/>
        <a:ext cx="70770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0.4225</cdr:x>
      <cdr:y>0.571</cdr:y>
    </cdr:from>
    <cdr:to>
      <cdr:x>0.42275</cdr:x>
      <cdr:y>0.9405</cdr:y>
    </cdr:to>
    <cdr:sp>
      <cdr:nvSpPr>
        <cdr:cNvPr id="1" name="Line 2"/>
        <cdr:cNvSpPr>
          <a:spLocks/>
        </cdr:cNvSpPr>
      </cdr:nvSpPr>
      <cdr:spPr>
        <a:xfrm flipV="1">
          <a:off x="0" y="2066925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0.559</cdr:x>
      <cdr:y>0.5485</cdr:y>
    </cdr:from>
    <cdr:to>
      <cdr:x>0.5595</cdr:x>
      <cdr:y>0.93575</cdr:y>
    </cdr:to>
    <cdr:sp>
      <cdr:nvSpPr>
        <cdr:cNvPr id="2" name="Line 3"/>
        <cdr:cNvSpPr>
          <a:spLocks/>
        </cdr:cNvSpPr>
      </cdr:nvSpPr>
      <cdr:spPr>
        <a:xfrm flipV="1">
          <a:off x="0" y="1981200"/>
          <a:ext cx="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0.471</cdr:y>
    </cdr:from>
    <cdr:to>
      <cdr:x>0.52025</cdr:x>
      <cdr:y>0.60475</cdr:y>
    </cdr:to>
    <cdr:sp>
      <cdr:nvSpPr>
        <cdr:cNvPr id="3" name="Line 5"/>
        <cdr:cNvSpPr>
          <a:spLocks/>
        </cdr:cNvSpPr>
      </cdr:nvSpPr>
      <cdr:spPr>
        <a:xfrm flipV="1">
          <a:off x="0" y="17049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-0.13775</cdr:x>
      <cdr:y>0.14825</cdr:y>
    </cdr:from>
    <cdr:to>
      <cdr:x>1</cdr:x>
      <cdr:y>0.3565</cdr:y>
    </cdr:to>
    <cdr:sp>
      <cdr:nvSpPr>
        <cdr:cNvPr id="4" name="Text Box 8"/>
        <cdr:cNvSpPr txBox="1">
          <a:spLocks noChangeArrowheads="1"/>
        </cdr:cNvSpPr>
      </cdr:nvSpPr>
      <cdr:spPr>
        <a:xfrm>
          <a:off x="0" y="533400"/>
          <a:ext cx="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Tasa Promedio
</a:t>
          </a: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1980 - 2000 = 2.9 %</a:t>
          </a:r>
        </a:p>
      </cdr:txBody>
    </cdr:sp>
  </cdr:relSizeAnchor>
  <cdr:relSizeAnchor xmlns:cdr="http://schemas.openxmlformats.org/drawingml/2006/chartDrawing">
    <cdr:from>
      <cdr:x>0.37325</cdr:x>
      <cdr:y>0.822</cdr:y>
    </cdr:from>
    <cdr:to>
      <cdr:x>0.61725</cdr:x>
      <cdr:y>0.90675</cdr:y>
    </cdr:to>
    <cdr:sp>
      <cdr:nvSpPr>
        <cdr:cNvPr id="5" name="Text Box 9"/>
        <cdr:cNvSpPr txBox="1">
          <a:spLocks noChangeArrowheads="1"/>
        </cdr:cNvSpPr>
      </cdr:nvSpPr>
      <cdr:spPr>
        <a:xfrm>
          <a:off x="0" y="298132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Tasa = 3.7 %</a:t>
          </a:r>
        </a:p>
      </cdr:txBody>
    </cdr:sp>
  </cdr:relSizeAnchor>
  <cdr:relSizeAnchor xmlns:cdr="http://schemas.openxmlformats.org/drawingml/2006/chartDrawing">
    <cdr:from>
      <cdr:x>-0.13775</cdr:x>
      <cdr:y>0.60475</cdr:y>
    </cdr:from>
    <cdr:to>
      <cdr:x>1</cdr:x>
      <cdr:y>0.843</cdr:y>
    </cdr:to>
    <cdr:sp>
      <cdr:nvSpPr>
        <cdr:cNvPr id="6" name="Text Box 6"/>
        <cdr:cNvSpPr txBox="1">
          <a:spLocks noChangeArrowheads="1"/>
        </cdr:cNvSpPr>
      </cdr:nvSpPr>
      <cdr:spPr>
        <a:xfrm>
          <a:off x="0" y="2190750"/>
          <a:ext cx="0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Crisis Política
</a:t>
          </a:r>
          <a:r>
            <a:rPr lang="en-US" cap="none" sz="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Económica</a:t>
          </a:r>
        </a:p>
      </cdr:txBody>
    </cdr:sp>
  </cdr:relSizeAnchor>
  <cdr:relSizeAnchor xmlns:cdr="http://schemas.openxmlformats.org/drawingml/2006/chartDrawing">
    <cdr:from>
      <cdr:x>-0.13775</cdr:x>
      <cdr:y>0.8265</cdr:y>
    </cdr:from>
    <cdr:to>
      <cdr:x>1</cdr:x>
      <cdr:y>0.91925</cdr:y>
    </cdr:to>
    <cdr:sp>
      <cdr:nvSpPr>
        <cdr:cNvPr id="7" name="Text Box 4"/>
        <cdr:cNvSpPr txBox="1">
          <a:spLocks noChangeArrowheads="1"/>
        </cdr:cNvSpPr>
      </cdr:nvSpPr>
      <cdr:spPr>
        <a:xfrm>
          <a:off x="0" y="2990850"/>
          <a:ext cx="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Tasa = -0.7 %</a:t>
          </a:r>
        </a:p>
      </cdr:txBody>
    </cdr:sp>
  </cdr:relSizeAnchor>
  <cdr:relSizeAnchor xmlns:cdr="http://schemas.openxmlformats.org/drawingml/2006/chartDrawing">
    <cdr:from>
      <cdr:x>-0.13775</cdr:x>
      <cdr:y>0.822</cdr:y>
    </cdr:from>
    <cdr:to>
      <cdr:x>1</cdr:x>
      <cdr:y>0.89675</cdr:y>
    </cdr:to>
    <cdr:sp>
      <cdr:nvSpPr>
        <cdr:cNvPr id="8" name="Text Box 7"/>
        <cdr:cNvSpPr txBox="1">
          <a:spLocks noChangeArrowheads="1"/>
        </cdr:cNvSpPr>
      </cdr:nvSpPr>
      <cdr:spPr>
        <a:xfrm>
          <a:off x="0" y="2981325"/>
          <a:ext cx="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Tasa = 3.4 %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0" y="1143000"/>
        <a:ext cx="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3</xdr:row>
      <xdr:rowOff>76200</xdr:rowOff>
    </xdr:from>
    <xdr:to>
      <xdr:col>10</xdr:col>
      <xdr:colOff>752475</xdr:colOff>
      <xdr:row>26</xdr:row>
      <xdr:rowOff>76200</xdr:rowOff>
    </xdr:to>
    <xdr:graphicFrame>
      <xdr:nvGraphicFramePr>
        <xdr:cNvPr id="2" name="Chart 2"/>
        <xdr:cNvGraphicFramePr/>
      </xdr:nvGraphicFramePr>
      <xdr:xfrm>
        <a:off x="209550" y="647700"/>
        <a:ext cx="7153275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0.3895</cdr:x>
      <cdr:y>0.3425</cdr:y>
    </cdr:from>
    <cdr:to>
      <cdr:x>0.91525</cdr:x>
      <cdr:y>0.58925</cdr:y>
    </cdr:to>
    <cdr:sp fLocksText="0">
      <cdr:nvSpPr>
        <cdr:cNvPr id="1" name="Text Box 2052"/>
        <cdr:cNvSpPr txBox="1">
          <a:spLocks noChangeArrowheads="1"/>
        </cdr:cNvSpPr>
      </cdr:nvSpPr>
      <cdr:spPr>
        <a:xfrm>
          <a:off x="2466975" y="1304925"/>
          <a:ext cx="3333750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0.39425</cdr:x>
      <cdr:y>0.3425</cdr:y>
    </cdr:from>
    <cdr:to>
      <cdr:x>0.90975</cdr:x>
      <cdr:y>0.58925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247900" y="1304925"/>
          <a:ext cx="2943225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partír del Año 2003, la metodología de cálculo del Indice de Precios al Consumidor utilizada por la Contraloría General de la Repúbica cambió.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Año base hasta 2003: 1987 -  Año base desde 2003: 2002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</cdr:x>
      <cdr:y>0.35</cdr:y>
    </cdr:from>
    <cdr:to>
      <cdr:x>0.9115</cdr:x>
      <cdr:y>0.60275</cdr:y>
    </cdr:to>
    <cdr:sp fLocksText="0">
      <cdr:nvSpPr>
        <cdr:cNvPr id="1" name="Text Box 2052"/>
        <cdr:cNvSpPr txBox="1">
          <a:spLocks noChangeArrowheads="1"/>
        </cdr:cNvSpPr>
      </cdr:nvSpPr>
      <cdr:spPr>
        <a:xfrm>
          <a:off x="2676525" y="1381125"/>
          <a:ext cx="3571875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0</xdr:col>
      <xdr:colOff>0</xdr:colOff>
      <xdr:row>35</xdr:row>
      <xdr:rowOff>0</xdr:rowOff>
    </xdr:to>
    <xdr:graphicFrame>
      <xdr:nvGraphicFramePr>
        <xdr:cNvPr id="1" name="Chart 1025"/>
        <xdr:cNvGraphicFramePr/>
      </xdr:nvGraphicFramePr>
      <xdr:xfrm>
        <a:off x="0" y="2286000"/>
        <a:ext cx="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23</xdr:row>
      <xdr:rowOff>0</xdr:rowOff>
    </xdr:to>
    <xdr:graphicFrame>
      <xdr:nvGraphicFramePr>
        <xdr:cNvPr id="2" name="Chart 1033"/>
        <xdr:cNvGraphicFramePr/>
      </xdr:nvGraphicFramePr>
      <xdr:xfrm>
        <a:off x="133350" y="571500"/>
        <a:ext cx="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3</xdr:row>
      <xdr:rowOff>19050</xdr:rowOff>
    </xdr:from>
    <xdr:to>
      <xdr:col>9</xdr:col>
      <xdr:colOff>600075</xdr:colOff>
      <xdr:row>23</xdr:row>
      <xdr:rowOff>19050</xdr:rowOff>
    </xdr:to>
    <xdr:graphicFrame>
      <xdr:nvGraphicFramePr>
        <xdr:cNvPr id="3" name="Chart 1038"/>
        <xdr:cNvGraphicFramePr/>
      </xdr:nvGraphicFramePr>
      <xdr:xfrm>
        <a:off x="104775" y="590550"/>
        <a:ext cx="6343650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8</xdr:col>
      <xdr:colOff>704850</xdr:colOff>
      <xdr:row>48</xdr:row>
      <xdr:rowOff>0</xdr:rowOff>
    </xdr:to>
    <xdr:graphicFrame>
      <xdr:nvGraphicFramePr>
        <xdr:cNvPr id="4" name="Chart 1039"/>
        <xdr:cNvGraphicFramePr/>
      </xdr:nvGraphicFramePr>
      <xdr:xfrm>
        <a:off x="133350" y="5334000"/>
        <a:ext cx="5705475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619125</xdr:colOff>
      <xdr:row>18</xdr:row>
      <xdr:rowOff>180975</xdr:rowOff>
    </xdr:from>
    <xdr:to>
      <xdr:col>25</xdr:col>
      <xdr:colOff>66675</xdr:colOff>
      <xdr:row>39</xdr:row>
      <xdr:rowOff>142875</xdr:rowOff>
    </xdr:to>
    <xdr:graphicFrame>
      <xdr:nvGraphicFramePr>
        <xdr:cNvPr id="5" name="Chart 1038"/>
        <xdr:cNvGraphicFramePr/>
      </xdr:nvGraphicFramePr>
      <xdr:xfrm>
        <a:off x="10220325" y="3609975"/>
        <a:ext cx="6858000" cy="3962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R52"/>
  <sheetViews>
    <sheetView tabSelected="1" zoomScalePageLayoutView="0" workbookViewId="0" topLeftCell="A1">
      <selection activeCell="Q20" sqref="Q20"/>
    </sheetView>
  </sheetViews>
  <sheetFormatPr defaultColWidth="10.7109375" defaultRowHeight="15" customHeight="1"/>
  <cols>
    <col min="1" max="1" width="2.7109375" style="61" customWidth="1"/>
    <col min="2" max="9" width="10.7109375" style="61" customWidth="1"/>
    <col min="10" max="11" width="10.00390625" style="61" customWidth="1"/>
    <col min="12" max="12" width="2.7109375" style="61" customWidth="1"/>
    <col min="13" max="13" width="13.8515625" style="61" customWidth="1"/>
    <col min="14" max="15" width="10.7109375" style="61" customWidth="1"/>
    <col min="16" max="16" width="10.7109375" style="0" customWidth="1"/>
    <col min="17" max="17" width="12.421875" style="0" customWidth="1"/>
    <col min="18" max="18" width="11.57421875" style="0" customWidth="1"/>
  </cols>
  <sheetData>
    <row r="1" spans="2:15" ht="15" customHeight="1">
      <c r="B1" s="622" t="s">
        <v>17</v>
      </c>
      <c r="C1" s="622"/>
      <c r="D1" s="622"/>
      <c r="E1" s="622"/>
      <c r="F1" s="622"/>
      <c r="G1" s="622"/>
      <c r="H1" s="622"/>
      <c r="I1" s="622"/>
      <c r="J1" s="622"/>
      <c r="K1" s="622"/>
      <c r="L1" s="127"/>
      <c r="M1" s="127"/>
      <c r="N1" s="127"/>
      <c r="O1" s="127"/>
    </row>
    <row r="2" spans="1:13" ht="15" customHeight="1">
      <c r="A2" s="128"/>
      <c r="B2" s="623" t="s">
        <v>128</v>
      </c>
      <c r="C2" s="623"/>
      <c r="D2" s="623"/>
      <c r="E2" s="623"/>
      <c r="F2" s="623"/>
      <c r="G2" s="623"/>
      <c r="H2" s="623"/>
      <c r="I2" s="623"/>
      <c r="J2" s="623"/>
      <c r="K2" s="623"/>
      <c r="L2" s="5"/>
      <c r="M2" s="5"/>
    </row>
    <row r="3" spans="2:13" ht="15" customHeight="1" thickBot="1">
      <c r="B3" s="628" t="s">
        <v>346</v>
      </c>
      <c r="C3" s="623"/>
      <c r="D3" s="623"/>
      <c r="E3" s="623"/>
      <c r="F3" s="623"/>
      <c r="G3" s="623"/>
      <c r="H3" s="623"/>
      <c r="I3" s="623"/>
      <c r="J3" s="623"/>
      <c r="K3" s="623"/>
      <c r="L3" s="5"/>
      <c r="M3" s="5"/>
    </row>
    <row r="4" spans="14:15" ht="15" customHeight="1">
      <c r="N4" s="624" t="s">
        <v>81</v>
      </c>
      <c r="O4" s="625"/>
    </row>
    <row r="5" spans="14:15" ht="15" customHeight="1" thickBot="1">
      <c r="N5" s="626"/>
      <c r="O5" s="627"/>
    </row>
    <row r="6" spans="14:15" ht="15" customHeight="1">
      <c r="N6" s="257">
        <v>2007</v>
      </c>
      <c r="O6" s="62">
        <v>20958</v>
      </c>
    </row>
    <row r="7" spans="14:15" ht="15" customHeight="1">
      <c r="N7" s="257">
        <v>2008</v>
      </c>
      <c r="O7" s="62">
        <v>24522.2</v>
      </c>
    </row>
    <row r="8" spans="14:15" ht="15" customHeight="1">
      <c r="N8" s="258">
        <v>2009</v>
      </c>
      <c r="O8" s="140">
        <v>26593.5</v>
      </c>
    </row>
    <row r="9" spans="14:15" ht="15" customHeight="1">
      <c r="N9" s="258">
        <v>2010</v>
      </c>
      <c r="O9" s="464">
        <v>28917.2</v>
      </c>
    </row>
    <row r="10" spans="14:17" ht="15" customHeight="1">
      <c r="N10" s="257">
        <v>2011</v>
      </c>
      <c r="O10" s="372">
        <v>34373.8</v>
      </c>
      <c r="Q10" s="250"/>
    </row>
    <row r="11" spans="14:15" ht="15" customHeight="1">
      <c r="N11" s="258">
        <v>2012</v>
      </c>
      <c r="O11" s="368">
        <v>39954.8</v>
      </c>
    </row>
    <row r="12" spans="14:15" ht="15" customHeight="1">
      <c r="N12" s="258">
        <v>2013</v>
      </c>
      <c r="O12" s="368">
        <v>45600</v>
      </c>
    </row>
    <row r="13" spans="14:15" ht="15" customHeight="1">
      <c r="N13" s="258">
        <v>2014</v>
      </c>
      <c r="O13" s="368">
        <v>49921.5</v>
      </c>
    </row>
    <row r="14" spans="14:17" ht="15" customHeight="1">
      <c r="N14" s="258">
        <v>2015</v>
      </c>
      <c r="O14" s="368">
        <v>54091.7</v>
      </c>
      <c r="Q14" s="507"/>
    </row>
    <row r="15" spans="14:17" ht="15" customHeight="1">
      <c r="N15" s="257">
        <v>2016</v>
      </c>
      <c r="O15" s="372">
        <v>57907.7</v>
      </c>
      <c r="Q15" s="507"/>
    </row>
    <row r="16" spans="14:18" ht="15" customHeight="1">
      <c r="N16" s="258">
        <v>2017</v>
      </c>
      <c r="O16" s="368">
        <v>62202.8</v>
      </c>
      <c r="Q16" s="507"/>
      <c r="R16" s="250"/>
    </row>
    <row r="17" spans="14:18" ht="15" customHeight="1">
      <c r="N17" s="258">
        <v>2018</v>
      </c>
      <c r="O17" s="368">
        <v>64929.4</v>
      </c>
      <c r="Q17" s="507"/>
      <c r="R17" s="545"/>
    </row>
    <row r="18" spans="14:18" ht="15" customHeight="1">
      <c r="N18" s="258">
        <v>2019</v>
      </c>
      <c r="O18" s="368">
        <v>66984.4</v>
      </c>
      <c r="Q18" s="507"/>
      <c r="R18" s="545"/>
    </row>
    <row r="19" spans="14:18" ht="15" customHeight="1">
      <c r="N19" s="258">
        <v>2020</v>
      </c>
      <c r="O19" s="368">
        <v>53977</v>
      </c>
      <c r="Q19" s="507"/>
      <c r="R19" s="545"/>
    </row>
    <row r="20" spans="14:18" ht="15" customHeight="1" thickBot="1">
      <c r="N20" s="259">
        <v>2021</v>
      </c>
      <c r="O20" s="356">
        <v>63605.1</v>
      </c>
      <c r="Q20" s="250"/>
      <c r="R20" s="250"/>
    </row>
    <row r="22" spans="14:15" ht="15" customHeight="1">
      <c r="N22" t="s">
        <v>208</v>
      </c>
      <c r="O22"/>
    </row>
    <row r="23" spans="14:18" ht="15" customHeight="1">
      <c r="N23" t="s">
        <v>209</v>
      </c>
      <c r="O23"/>
      <c r="Q23" s="589"/>
      <c r="R23" s="250"/>
    </row>
    <row r="24" spans="14:15" ht="15" customHeight="1">
      <c r="N24" t="s">
        <v>210</v>
      </c>
      <c r="O24"/>
    </row>
    <row r="25" spans="14:15" ht="15" customHeight="1">
      <c r="N25"/>
      <c r="O25"/>
    </row>
    <row r="26" ht="15" customHeight="1">
      <c r="O26" s="759"/>
    </row>
    <row r="27" ht="15" customHeight="1">
      <c r="O27" s="141"/>
    </row>
    <row r="29" spans="9:17" ht="15" customHeight="1">
      <c r="I29" s="141"/>
      <c r="Q29" s="373"/>
    </row>
    <row r="30" spans="2:15" ht="15" customHeight="1">
      <c r="B30" s="622" t="s">
        <v>17</v>
      </c>
      <c r="C30" s="622"/>
      <c r="D30" s="622"/>
      <c r="E30" s="622"/>
      <c r="F30" s="622"/>
      <c r="G30" s="622"/>
      <c r="H30" s="622"/>
      <c r="I30" s="622"/>
      <c r="J30" s="622"/>
      <c r="K30" s="4"/>
      <c r="L30" s="127"/>
      <c r="M30" s="127"/>
      <c r="N30" s="127"/>
      <c r="O30" s="127"/>
    </row>
    <row r="31" spans="2:13" ht="15" customHeight="1">
      <c r="B31" s="623" t="s">
        <v>128</v>
      </c>
      <c r="C31" s="623"/>
      <c r="D31" s="623"/>
      <c r="E31" s="623"/>
      <c r="F31" s="623"/>
      <c r="G31" s="623"/>
      <c r="H31" s="623"/>
      <c r="I31" s="623"/>
      <c r="J31" s="623"/>
      <c r="K31" s="6"/>
      <c r="L31" s="5"/>
      <c r="M31" s="5"/>
    </row>
    <row r="32" spans="2:13" ht="15" customHeight="1" thickBot="1">
      <c r="B32" s="623" t="s">
        <v>189</v>
      </c>
      <c r="C32" s="623"/>
      <c r="D32" s="623"/>
      <c r="E32" s="623"/>
      <c r="F32" s="623"/>
      <c r="G32" s="623"/>
      <c r="H32" s="623"/>
      <c r="I32" s="623"/>
      <c r="J32" s="623"/>
      <c r="K32" s="6"/>
      <c r="L32" s="5"/>
      <c r="M32" s="5"/>
    </row>
    <row r="33" spans="14:15" ht="15" customHeight="1">
      <c r="N33" s="624" t="s">
        <v>81</v>
      </c>
      <c r="O33" s="625"/>
    </row>
    <row r="34" spans="14:15" ht="15" customHeight="1" thickBot="1">
      <c r="N34" s="626"/>
      <c r="O34" s="627"/>
    </row>
    <row r="35" spans="14:15" ht="15" customHeight="1">
      <c r="N35" s="256">
        <v>1996</v>
      </c>
      <c r="O35" s="91">
        <v>9322.1</v>
      </c>
    </row>
    <row r="36" spans="14:15" ht="15" customHeight="1">
      <c r="N36" s="257">
        <v>1997</v>
      </c>
      <c r="O36" s="62">
        <v>9916.8</v>
      </c>
    </row>
    <row r="37" spans="14:15" ht="15" customHeight="1">
      <c r="N37" s="257">
        <v>1998</v>
      </c>
      <c r="O37" s="62">
        <v>10648.8</v>
      </c>
    </row>
    <row r="38" spans="14:15" ht="15" customHeight="1">
      <c r="N38" s="257">
        <v>1999</v>
      </c>
      <c r="O38" s="62">
        <v>11071.5</v>
      </c>
    </row>
    <row r="39" spans="14:15" ht="15" customHeight="1">
      <c r="N39" s="257">
        <v>2000</v>
      </c>
      <c r="O39" s="62">
        <v>11370.9</v>
      </c>
    </row>
    <row r="40" spans="14:15" ht="15" customHeight="1">
      <c r="N40" s="257">
        <v>2001</v>
      </c>
      <c r="O40" s="62">
        <v>11436.2</v>
      </c>
    </row>
    <row r="41" spans="14:15" ht="15" customHeight="1">
      <c r="N41" s="258">
        <v>2002</v>
      </c>
      <c r="O41" s="140">
        <v>11691.1</v>
      </c>
    </row>
    <row r="42" spans="14:18" ht="15" customHeight="1">
      <c r="N42" s="257">
        <v>2003</v>
      </c>
      <c r="O42" s="62">
        <v>12182.8</v>
      </c>
      <c r="R42" s="250"/>
    </row>
    <row r="43" spans="14:15" ht="15" customHeight="1">
      <c r="N43" s="257">
        <v>2004</v>
      </c>
      <c r="O43" s="62">
        <v>13099.2</v>
      </c>
    </row>
    <row r="44" spans="14:15" ht="15" customHeight="1">
      <c r="N44" s="258">
        <v>2005</v>
      </c>
      <c r="O44" s="140">
        <v>14041.2</v>
      </c>
    </row>
    <row r="45" spans="14:15" ht="15" customHeight="1">
      <c r="N45" s="257">
        <v>2006</v>
      </c>
      <c r="O45" s="62">
        <v>15238.6</v>
      </c>
    </row>
    <row r="46" spans="14:15" ht="15" customHeight="1">
      <c r="N46" s="257">
        <v>2007</v>
      </c>
      <c r="O46" s="62">
        <v>17084.4</v>
      </c>
    </row>
    <row r="47" spans="14:15" ht="15" customHeight="1">
      <c r="N47" s="257">
        <v>2008</v>
      </c>
      <c r="O47" s="62">
        <v>18812.9</v>
      </c>
    </row>
    <row r="48" spans="14:15" ht="15" customHeight="1">
      <c r="N48" s="258">
        <v>2009</v>
      </c>
      <c r="O48" s="140">
        <v>19538.4</v>
      </c>
    </row>
    <row r="49" spans="14:15" ht="15" customHeight="1">
      <c r="N49" s="258">
        <v>2010</v>
      </c>
      <c r="O49" s="368">
        <v>20994.4</v>
      </c>
    </row>
    <row r="50" spans="14:15" ht="15" customHeight="1">
      <c r="N50" s="257">
        <v>2011</v>
      </c>
      <c r="O50" s="372">
        <v>23272.1</v>
      </c>
    </row>
    <row r="51" spans="14:15" ht="15" customHeight="1" thickBot="1">
      <c r="N51" s="259">
        <v>2012</v>
      </c>
      <c r="O51" s="356">
        <v>25755.5</v>
      </c>
    </row>
    <row r="52" ht="15" customHeight="1">
      <c r="O52" s="141"/>
    </row>
  </sheetData>
  <sheetProtection/>
  <mergeCells count="8">
    <mergeCell ref="B30:J30"/>
    <mergeCell ref="B31:J31"/>
    <mergeCell ref="B32:J32"/>
    <mergeCell ref="N33:O34"/>
    <mergeCell ref="N4:O5"/>
    <mergeCell ref="B1:K1"/>
    <mergeCell ref="B2:K2"/>
    <mergeCell ref="B3:K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B1:V59"/>
  <sheetViews>
    <sheetView zoomScalePageLayoutView="0" workbookViewId="0" topLeftCell="A1">
      <selection activeCell="O25" sqref="O25"/>
    </sheetView>
  </sheetViews>
  <sheetFormatPr defaultColWidth="10.7109375" defaultRowHeight="15" customHeight="1"/>
  <cols>
    <col min="1" max="1" width="2.7109375" style="112" customWidth="1"/>
    <col min="2" max="8" width="10.7109375" style="112" customWidth="1"/>
    <col min="9" max="9" width="8.57421875" style="112" customWidth="1"/>
    <col min="10" max="12" width="10.7109375" style="112" customWidth="1"/>
    <col min="13" max="13" width="2.7109375" style="112" customWidth="1"/>
    <col min="14" max="14" width="10.7109375" style="113" customWidth="1"/>
    <col min="15" max="17" width="15.7109375" style="114" customWidth="1"/>
    <col min="18" max="16384" width="10.7109375" style="112" customWidth="1"/>
  </cols>
  <sheetData>
    <row r="1" spans="2:12" ht="15" customHeight="1" thickBot="1">
      <c r="B1" s="642" t="s">
        <v>105</v>
      </c>
      <c r="C1" s="642"/>
      <c r="D1" s="642"/>
      <c r="E1" s="642"/>
      <c r="F1" s="642"/>
      <c r="G1" s="642"/>
      <c r="H1" s="642"/>
      <c r="I1" s="642"/>
      <c r="J1" s="642"/>
      <c r="K1" s="642"/>
      <c r="L1" s="642"/>
    </row>
    <row r="2" spans="2:22" ht="15" customHeight="1">
      <c r="B2" s="642" t="s">
        <v>102</v>
      </c>
      <c r="C2" s="642"/>
      <c r="D2" s="642"/>
      <c r="E2" s="642"/>
      <c r="F2" s="642"/>
      <c r="G2" s="642"/>
      <c r="H2" s="642"/>
      <c r="I2" s="642"/>
      <c r="J2" s="642"/>
      <c r="K2" s="642"/>
      <c r="L2" s="642"/>
      <c r="N2" s="657" t="s">
        <v>53</v>
      </c>
      <c r="O2" s="660" t="s">
        <v>167</v>
      </c>
      <c r="P2" s="649" t="s">
        <v>218</v>
      </c>
      <c r="Q2" s="651" t="s">
        <v>219</v>
      </c>
      <c r="T2"/>
      <c r="U2"/>
      <c r="V2"/>
    </row>
    <row r="3" spans="2:22" ht="15" customHeight="1">
      <c r="B3" s="639" t="s">
        <v>355</v>
      </c>
      <c r="C3" s="639"/>
      <c r="D3" s="639"/>
      <c r="E3" s="639"/>
      <c r="F3" s="639"/>
      <c r="G3" s="639"/>
      <c r="H3" s="639"/>
      <c r="I3" s="639"/>
      <c r="J3" s="639"/>
      <c r="K3" s="639"/>
      <c r="L3" s="639"/>
      <c r="N3" s="658"/>
      <c r="O3" s="661"/>
      <c r="P3" s="653"/>
      <c r="Q3" s="655"/>
      <c r="T3"/>
      <c r="U3"/>
      <c r="V3"/>
    </row>
    <row r="4" spans="2:22" ht="15" customHeight="1" thickBot="1">
      <c r="B4" s="642" t="s">
        <v>217</v>
      </c>
      <c r="C4" s="642"/>
      <c r="D4" s="642"/>
      <c r="E4" s="642"/>
      <c r="F4" s="642"/>
      <c r="G4" s="642"/>
      <c r="H4" s="642"/>
      <c r="I4" s="642"/>
      <c r="J4" s="642"/>
      <c r="K4" s="642"/>
      <c r="L4" s="642"/>
      <c r="N4" s="659"/>
      <c r="O4" s="662"/>
      <c r="P4" s="654"/>
      <c r="Q4" s="656"/>
      <c r="T4"/>
      <c r="U4"/>
      <c r="V4"/>
    </row>
    <row r="5" spans="14:22" ht="15" customHeight="1">
      <c r="N5" s="284">
        <v>2007</v>
      </c>
      <c r="O5" s="198">
        <v>16937040</v>
      </c>
      <c r="P5" s="523">
        <v>20958000</v>
      </c>
      <c r="Q5" s="193">
        <f aca="true" t="shared" si="0" ref="Q5:Q11">+O5/P5</f>
        <v>0.8081419982822788</v>
      </c>
      <c r="S5"/>
      <c r="T5"/>
      <c r="U5"/>
      <c r="V5"/>
    </row>
    <row r="6" spans="14:22" ht="15" customHeight="1">
      <c r="N6" s="284">
        <v>2008</v>
      </c>
      <c r="O6" s="198">
        <v>17088270</v>
      </c>
      <c r="P6" s="524">
        <v>24522200</v>
      </c>
      <c r="Q6" s="193">
        <f t="shared" si="0"/>
        <v>0.6968489776610581</v>
      </c>
      <c r="S6"/>
      <c r="T6"/>
      <c r="U6"/>
      <c r="V6"/>
    </row>
    <row r="7" spans="14:22" ht="15" customHeight="1">
      <c r="N7" s="284">
        <v>2009</v>
      </c>
      <c r="O7" s="198">
        <v>19197650</v>
      </c>
      <c r="P7" s="525">
        <v>26593500</v>
      </c>
      <c r="Q7" s="193">
        <f t="shared" si="0"/>
        <v>0.7218925677327166</v>
      </c>
      <c r="S7"/>
      <c r="T7"/>
      <c r="U7"/>
      <c r="V7"/>
    </row>
    <row r="8" spans="14:22" ht="15" customHeight="1">
      <c r="N8" s="284">
        <v>2010</v>
      </c>
      <c r="O8" s="198">
        <v>20093400</v>
      </c>
      <c r="P8" s="526">
        <v>28917200</v>
      </c>
      <c r="Q8" s="193">
        <f t="shared" si="0"/>
        <v>0.6948598066202814</v>
      </c>
      <c r="S8"/>
      <c r="T8"/>
      <c r="U8"/>
      <c r="V8"/>
    </row>
    <row r="9" spans="14:22" ht="15" customHeight="1">
      <c r="N9" s="284">
        <v>2011</v>
      </c>
      <c r="O9" s="198">
        <v>21419900</v>
      </c>
      <c r="P9" s="524">
        <v>34373800</v>
      </c>
      <c r="Q9" s="193">
        <f t="shared" si="0"/>
        <v>0.6231461171008151</v>
      </c>
      <c r="S9"/>
      <c r="T9"/>
      <c r="U9"/>
      <c r="V9"/>
    </row>
    <row r="10" spans="14:22" ht="15" customHeight="1">
      <c r="N10" s="285">
        <v>2012</v>
      </c>
      <c r="O10" s="404">
        <v>22730700</v>
      </c>
      <c r="P10" s="525">
        <v>39954800</v>
      </c>
      <c r="Q10" s="405">
        <f t="shared" si="0"/>
        <v>0.5689103687166498</v>
      </c>
      <c r="S10"/>
      <c r="T10"/>
      <c r="U10"/>
      <c r="V10"/>
    </row>
    <row r="11" spans="14:22" ht="15" customHeight="1">
      <c r="N11" s="257">
        <v>2013</v>
      </c>
      <c r="O11" s="122">
        <v>22823700</v>
      </c>
      <c r="P11" s="525">
        <v>45600000</v>
      </c>
      <c r="Q11" s="121">
        <f t="shared" si="0"/>
        <v>0.5005197368421053</v>
      </c>
      <c r="S11"/>
      <c r="T11"/>
      <c r="U11"/>
      <c r="V11"/>
    </row>
    <row r="12" spans="14:22" ht="15" customHeight="1">
      <c r="N12" s="257">
        <v>2014</v>
      </c>
      <c r="O12" s="122">
        <v>23955200</v>
      </c>
      <c r="P12" s="525">
        <v>49921500</v>
      </c>
      <c r="Q12" s="121">
        <f aca="true" t="shared" si="1" ref="Q12:Q17">+O12/P12</f>
        <v>0.4798573760804463</v>
      </c>
      <c r="S12"/>
      <c r="T12"/>
      <c r="U12"/>
      <c r="V12"/>
    </row>
    <row r="13" spans="14:22" ht="15" customHeight="1">
      <c r="N13" s="257">
        <v>2015</v>
      </c>
      <c r="O13" s="122">
        <v>24435100</v>
      </c>
      <c r="P13" s="524">
        <v>54091700</v>
      </c>
      <c r="Q13" s="121">
        <f t="shared" si="1"/>
        <v>0.4517347393407861</v>
      </c>
      <c r="S13"/>
      <c r="T13"/>
      <c r="U13"/>
      <c r="V13"/>
    </row>
    <row r="14" spans="14:22" ht="15" customHeight="1">
      <c r="N14" s="257">
        <v>2016</v>
      </c>
      <c r="O14" s="122">
        <v>24832000</v>
      </c>
      <c r="P14" s="524">
        <v>57907700</v>
      </c>
      <c r="Q14" s="121">
        <f t="shared" si="1"/>
        <v>0.4288203468623344</v>
      </c>
      <c r="S14"/>
      <c r="T14"/>
      <c r="U14"/>
      <c r="V14"/>
    </row>
    <row r="15" spans="14:22" ht="15" customHeight="1">
      <c r="N15" s="257">
        <v>2017</v>
      </c>
      <c r="O15" s="122">
        <v>25567300</v>
      </c>
      <c r="P15" s="524">
        <v>62202800</v>
      </c>
      <c r="Q15" s="121">
        <f t="shared" si="1"/>
        <v>0.41103133620994553</v>
      </c>
      <c r="S15"/>
      <c r="T15"/>
      <c r="U15"/>
      <c r="V15"/>
    </row>
    <row r="16" spans="14:22" ht="15" customHeight="1">
      <c r="N16" s="257">
        <v>2018</v>
      </c>
      <c r="O16" s="122">
        <v>25451400</v>
      </c>
      <c r="P16" s="524">
        <v>64929400</v>
      </c>
      <c r="Q16" s="121">
        <f t="shared" si="1"/>
        <v>0.3919857568374265</v>
      </c>
      <c r="S16"/>
      <c r="T16"/>
      <c r="U16"/>
      <c r="V16"/>
    </row>
    <row r="17" spans="14:22" ht="15" customHeight="1">
      <c r="N17" s="257">
        <v>2019</v>
      </c>
      <c r="O17" s="122">
        <v>27437700</v>
      </c>
      <c r="P17" s="524">
        <v>66984400</v>
      </c>
      <c r="Q17" s="121">
        <f t="shared" si="1"/>
        <v>0.40961328309277983</v>
      </c>
      <c r="S17"/>
      <c r="T17"/>
      <c r="U17"/>
      <c r="V17"/>
    </row>
    <row r="18" spans="14:22" ht="15" customHeight="1">
      <c r="N18" s="258">
        <v>2020</v>
      </c>
      <c r="O18" s="171">
        <v>22395900</v>
      </c>
      <c r="P18" s="525">
        <v>53977000</v>
      </c>
      <c r="Q18" s="169">
        <f>+O18/P18</f>
        <v>0.4149156122051985</v>
      </c>
      <c r="S18"/>
      <c r="T18"/>
      <c r="U18"/>
      <c r="V18"/>
    </row>
    <row r="19" spans="14:22" ht="15" customHeight="1" thickBot="1">
      <c r="N19" s="259">
        <v>2021</v>
      </c>
      <c r="O19" s="406">
        <v>26015700</v>
      </c>
      <c r="P19" s="527">
        <v>63605100</v>
      </c>
      <c r="Q19" s="407">
        <f>+O19/P19</f>
        <v>0.4090190880919926</v>
      </c>
      <c r="T19"/>
      <c r="U19"/>
      <c r="V19"/>
    </row>
    <row r="20" spans="20:22" ht="15" customHeight="1">
      <c r="T20"/>
      <c r="U20"/>
      <c r="V20"/>
    </row>
    <row r="21" ht="15" customHeight="1">
      <c r="N21" t="s">
        <v>103</v>
      </c>
    </row>
    <row r="22" ht="15" customHeight="1">
      <c r="N22" t="s">
        <v>181</v>
      </c>
    </row>
    <row r="23" ht="15" customHeight="1">
      <c r="N23" t="s">
        <v>104</v>
      </c>
    </row>
    <row r="24" spans="14:15" ht="15" customHeight="1">
      <c r="N24"/>
      <c r="O24" s="112"/>
    </row>
    <row r="25" spans="14:16" ht="15" customHeight="1">
      <c r="N25" s="429" t="s">
        <v>293</v>
      </c>
      <c r="O25"/>
      <c r="P25" s="402"/>
    </row>
    <row r="26" spans="14:17" ht="15" customHeight="1">
      <c r="N26" t="s">
        <v>209</v>
      </c>
      <c r="O26"/>
      <c r="P26" s="402"/>
      <c r="Q26"/>
    </row>
    <row r="27" spans="14:17" ht="15" customHeight="1">
      <c r="N27" t="s">
        <v>210</v>
      </c>
      <c r="O27"/>
      <c r="P27" s="402"/>
      <c r="Q27"/>
    </row>
    <row r="28" spans="14:17" ht="15" customHeight="1">
      <c r="N28"/>
      <c r="O28"/>
      <c r="P28" s="402"/>
      <c r="Q28"/>
    </row>
    <row r="29" ht="15" customHeight="1">
      <c r="N29" t="s">
        <v>220</v>
      </c>
    </row>
    <row r="30" spans="14:17" ht="15" customHeight="1">
      <c r="N30" t="s">
        <v>221</v>
      </c>
      <c r="O30"/>
      <c r="P30" s="402"/>
      <c r="Q30"/>
    </row>
    <row r="31" spans="14:17" ht="15" customHeight="1">
      <c r="N31"/>
      <c r="O31"/>
      <c r="P31"/>
      <c r="Q31"/>
    </row>
    <row r="32" spans="14:17" ht="15" customHeight="1">
      <c r="N32"/>
      <c r="O32"/>
      <c r="P32"/>
      <c r="Q32"/>
    </row>
    <row r="33" spans="2:12" ht="15" customHeight="1" thickBot="1">
      <c r="B33" s="642" t="s">
        <v>105</v>
      </c>
      <c r="C33" s="642"/>
      <c r="D33" s="642"/>
      <c r="E33" s="642"/>
      <c r="F33" s="642"/>
      <c r="G33" s="642"/>
      <c r="H33" s="642"/>
      <c r="I33" s="642"/>
      <c r="J33" s="642"/>
      <c r="K33" s="3"/>
      <c r="L33" s="3"/>
    </row>
    <row r="34" spans="2:17" ht="15" customHeight="1">
      <c r="B34" s="642" t="s">
        <v>102</v>
      </c>
      <c r="C34" s="642"/>
      <c r="D34" s="642"/>
      <c r="E34" s="642"/>
      <c r="F34" s="642"/>
      <c r="G34" s="642"/>
      <c r="H34" s="642"/>
      <c r="I34" s="642"/>
      <c r="J34" s="642"/>
      <c r="K34" s="3"/>
      <c r="L34" s="3"/>
      <c r="N34" s="657" t="s">
        <v>53</v>
      </c>
      <c r="O34" s="660" t="s">
        <v>167</v>
      </c>
      <c r="P34" s="649" t="s">
        <v>115</v>
      </c>
      <c r="Q34" s="651" t="s">
        <v>174</v>
      </c>
    </row>
    <row r="35" spans="2:17" ht="15" customHeight="1">
      <c r="B35" s="642" t="s">
        <v>189</v>
      </c>
      <c r="C35" s="642"/>
      <c r="D35" s="642"/>
      <c r="E35" s="642"/>
      <c r="F35" s="642"/>
      <c r="G35" s="642"/>
      <c r="H35" s="642"/>
      <c r="I35" s="642"/>
      <c r="J35" s="642"/>
      <c r="K35" s="3"/>
      <c r="L35" s="3"/>
      <c r="N35" s="658"/>
      <c r="O35" s="661"/>
      <c r="P35" s="653"/>
      <c r="Q35" s="655"/>
    </row>
    <row r="36" spans="2:17" ht="15" customHeight="1" thickBot="1">
      <c r="B36" s="642" t="s">
        <v>165</v>
      </c>
      <c r="C36" s="642"/>
      <c r="D36" s="642"/>
      <c r="E36" s="642"/>
      <c r="F36" s="642"/>
      <c r="G36" s="642"/>
      <c r="H36" s="642"/>
      <c r="I36" s="642"/>
      <c r="J36" s="642"/>
      <c r="K36" s="3"/>
      <c r="L36" s="3"/>
      <c r="N36" s="659"/>
      <c r="O36" s="662"/>
      <c r="P36" s="654"/>
      <c r="Q36" s="656"/>
    </row>
    <row r="37" spans="14:17" ht="15" customHeight="1">
      <c r="N37" s="257">
        <v>1996</v>
      </c>
      <c r="O37" s="172">
        <f>15278.5*1000</f>
        <v>15278500</v>
      </c>
      <c r="P37" s="189">
        <v>9322100</v>
      </c>
      <c r="Q37" s="121">
        <f aca="true" t="shared" si="2" ref="Q37:Q48">+O37/P37</f>
        <v>1.6389547419572843</v>
      </c>
    </row>
    <row r="38" spans="14:17" ht="15" customHeight="1">
      <c r="N38" s="257">
        <v>1997</v>
      </c>
      <c r="O38" s="122">
        <f>15226.3*1000</f>
        <v>15226300</v>
      </c>
      <c r="P38" s="116">
        <v>9916800</v>
      </c>
      <c r="Q38" s="121">
        <f t="shared" si="2"/>
        <v>1.5354045659890287</v>
      </c>
    </row>
    <row r="39" spans="14:17" ht="15" customHeight="1">
      <c r="N39" s="257">
        <v>1998</v>
      </c>
      <c r="O39" s="122">
        <f>16019.87*1000</f>
        <v>16019870</v>
      </c>
      <c r="P39" s="116">
        <v>10648800</v>
      </c>
      <c r="Q39" s="121">
        <f t="shared" si="2"/>
        <v>1.5043826534445195</v>
      </c>
    </row>
    <row r="40" spans="14:17" ht="15" customHeight="1">
      <c r="N40" s="257">
        <v>1999</v>
      </c>
      <c r="O40" s="122">
        <f>15990.83*1000</f>
        <v>15990830</v>
      </c>
      <c r="P40" s="116">
        <v>11071500</v>
      </c>
      <c r="Q40" s="121">
        <f t="shared" si="2"/>
        <v>1.4443237140405545</v>
      </c>
    </row>
    <row r="41" spans="14:17" ht="15" customHeight="1">
      <c r="N41" s="257">
        <v>2000</v>
      </c>
      <c r="O41" s="122">
        <f>15667.85*1000</f>
        <v>15667850</v>
      </c>
      <c r="P41" s="116">
        <v>11370900</v>
      </c>
      <c r="Q41" s="121">
        <f t="shared" si="2"/>
        <v>1.377890052678328</v>
      </c>
    </row>
    <row r="42" spans="14:19" ht="15" customHeight="1">
      <c r="N42" s="257">
        <v>2001</v>
      </c>
      <c r="O42" s="122">
        <f>16743.36*1000</f>
        <v>16743360</v>
      </c>
      <c r="P42" s="116">
        <v>11436200</v>
      </c>
      <c r="Q42" s="121">
        <f t="shared" si="2"/>
        <v>1.4640667354540844</v>
      </c>
      <c r="S42" s="251"/>
    </row>
    <row r="43" spans="14:19" ht="15" customHeight="1">
      <c r="N43" s="257">
        <v>2002</v>
      </c>
      <c r="O43" s="171">
        <f>16192.41*1000</f>
        <v>16192410</v>
      </c>
      <c r="P43" s="116">
        <v>11691100</v>
      </c>
      <c r="Q43" s="169">
        <f t="shared" si="2"/>
        <v>1.3850202290631335</v>
      </c>
      <c r="S43" s="251"/>
    </row>
    <row r="44" spans="14:19" ht="15" customHeight="1">
      <c r="N44" s="284">
        <v>2003</v>
      </c>
      <c r="O44" s="198">
        <v>17747560</v>
      </c>
      <c r="P44" s="116">
        <v>12182800</v>
      </c>
      <c r="Q44" s="193">
        <f t="shared" si="2"/>
        <v>1.4567718422694291</v>
      </c>
      <c r="S44" s="251"/>
    </row>
    <row r="45" spans="14:19" ht="15" customHeight="1">
      <c r="N45" s="284">
        <v>2004</v>
      </c>
      <c r="O45" s="198">
        <v>17678540</v>
      </c>
      <c r="P45" s="116">
        <v>13099200</v>
      </c>
      <c r="Q45" s="193">
        <f t="shared" si="2"/>
        <v>1.349589287895444</v>
      </c>
      <c r="S45" s="251"/>
    </row>
    <row r="46" spans="14:19" ht="15" customHeight="1">
      <c r="N46" s="284">
        <v>2005</v>
      </c>
      <c r="O46" s="198">
        <v>19051990</v>
      </c>
      <c r="P46" s="116">
        <v>14041200</v>
      </c>
      <c r="Q46" s="193">
        <f t="shared" si="2"/>
        <v>1.3568633735008404</v>
      </c>
      <c r="S46" s="251"/>
    </row>
    <row r="47" spans="14:19" ht="15" customHeight="1">
      <c r="N47" s="284">
        <v>2006</v>
      </c>
      <c r="O47" s="198">
        <v>19234240</v>
      </c>
      <c r="P47" s="116">
        <v>15238600</v>
      </c>
      <c r="Q47" s="193">
        <f t="shared" si="2"/>
        <v>1.2622051894530995</v>
      </c>
      <c r="S47" s="251"/>
    </row>
    <row r="48" spans="14:19" ht="15" customHeight="1">
      <c r="N48" s="284">
        <v>2007</v>
      </c>
      <c r="O48" s="198">
        <v>20985490</v>
      </c>
      <c r="P48" s="237">
        <v>17084400</v>
      </c>
      <c r="Q48" s="193">
        <f t="shared" si="2"/>
        <v>1.2283422303387885</v>
      </c>
      <c r="S48" s="251"/>
    </row>
    <row r="49" spans="14:19" ht="15" customHeight="1">
      <c r="N49" s="284">
        <v>2008</v>
      </c>
      <c r="O49" s="198">
        <v>20447500</v>
      </c>
      <c r="P49" s="116">
        <v>18812900</v>
      </c>
      <c r="Q49" s="193">
        <f>+O49/P49</f>
        <v>1.0868871891096004</v>
      </c>
      <c r="S49" s="251"/>
    </row>
    <row r="50" spans="14:17" ht="15" customHeight="1">
      <c r="N50" s="284">
        <v>2009</v>
      </c>
      <c r="O50" s="198">
        <v>22438130</v>
      </c>
      <c r="P50" s="116">
        <v>19538400</v>
      </c>
      <c r="Q50" s="193">
        <f>+O50/P50</f>
        <v>1.148411845391639</v>
      </c>
    </row>
    <row r="51" spans="14:17" ht="15" customHeight="1">
      <c r="N51" s="284">
        <v>2010</v>
      </c>
      <c r="O51" s="198">
        <v>23387510</v>
      </c>
      <c r="P51" s="116">
        <v>20994400</v>
      </c>
      <c r="Q51" s="193">
        <f>+O51/P51</f>
        <v>1.1139880158518463</v>
      </c>
    </row>
    <row r="52" spans="14:17" ht="15" customHeight="1">
      <c r="N52" s="284">
        <v>2011</v>
      </c>
      <c r="O52" s="198">
        <v>24837700</v>
      </c>
      <c r="P52" s="116">
        <v>23272100</v>
      </c>
      <c r="Q52" s="193">
        <f>+O52/P52</f>
        <v>1.0672736882361282</v>
      </c>
    </row>
    <row r="53" spans="14:17" ht="15" customHeight="1" thickBot="1">
      <c r="N53" s="286">
        <v>2012</v>
      </c>
      <c r="O53" s="173">
        <v>26378000</v>
      </c>
      <c r="P53" s="187">
        <v>25755500</v>
      </c>
      <c r="Q53" s="174">
        <f>+O53/P53</f>
        <v>1.0241695948438199</v>
      </c>
    </row>
    <row r="54" spans="14:17" ht="15" customHeight="1">
      <c r="N54"/>
      <c r="O54"/>
      <c r="P54"/>
      <c r="Q54"/>
    </row>
    <row r="55" ht="15" customHeight="1">
      <c r="N55" t="s">
        <v>103</v>
      </c>
    </row>
    <row r="56" ht="15" customHeight="1">
      <c r="N56" t="s">
        <v>181</v>
      </c>
    </row>
    <row r="57" ht="15" customHeight="1">
      <c r="N57" t="s">
        <v>104</v>
      </c>
    </row>
    <row r="58" spans="14:15" ht="15" customHeight="1">
      <c r="N58"/>
      <c r="O58" s="112"/>
    </row>
    <row r="59" ht="15" customHeight="1">
      <c r="N59" t="s">
        <v>96</v>
      </c>
    </row>
  </sheetData>
  <sheetProtection/>
  <mergeCells count="16">
    <mergeCell ref="B1:L1"/>
    <mergeCell ref="B2:L2"/>
    <mergeCell ref="P34:P36"/>
    <mergeCell ref="Q34:Q36"/>
    <mergeCell ref="B35:J35"/>
    <mergeCell ref="B36:J36"/>
    <mergeCell ref="B33:J33"/>
    <mergeCell ref="B34:J34"/>
    <mergeCell ref="N34:N36"/>
    <mergeCell ref="O34:O36"/>
    <mergeCell ref="B3:L3"/>
    <mergeCell ref="B4:L4"/>
    <mergeCell ref="P2:P4"/>
    <mergeCell ref="Q2:Q4"/>
    <mergeCell ref="N2:N4"/>
    <mergeCell ref="O2:O4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R66"/>
  <sheetViews>
    <sheetView zoomScale="75" zoomScaleNormal="75" zoomScalePageLayoutView="0" workbookViewId="0" topLeftCell="C1">
      <selection activeCell="M36" sqref="M36"/>
    </sheetView>
  </sheetViews>
  <sheetFormatPr defaultColWidth="11.421875" defaultRowHeight="15" customHeight="1"/>
  <cols>
    <col min="1" max="1" width="2.7109375" style="13" customWidth="1"/>
    <col min="2" max="2" width="27.7109375" style="13" customWidth="1"/>
    <col min="3" max="9" width="15.7109375" style="13" customWidth="1"/>
    <col min="10" max="10" width="11.421875" style="13" customWidth="1"/>
    <col min="11" max="11" width="27.421875" style="13" customWidth="1"/>
    <col min="12" max="12" width="16.7109375" style="13" customWidth="1"/>
    <col min="13" max="13" width="14.421875" style="13" customWidth="1"/>
    <col min="14" max="14" width="13.7109375" style="13" customWidth="1"/>
    <col min="15" max="15" width="15.8515625" style="13" customWidth="1"/>
    <col min="16" max="16" width="15.00390625" style="13" customWidth="1"/>
    <col min="17" max="17" width="18.00390625" style="13" customWidth="1"/>
    <col min="18" max="18" width="17.57421875" style="13" customWidth="1"/>
    <col min="19" max="16384" width="11.421875" style="13" customWidth="1"/>
  </cols>
  <sheetData>
    <row r="1" spans="2:18" ht="15" customHeight="1">
      <c r="B1" s="666" t="s">
        <v>23</v>
      </c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</row>
    <row r="2" spans="2:18" ht="15" customHeight="1">
      <c r="B2" s="666" t="s">
        <v>29</v>
      </c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</row>
    <row r="3" spans="2:9" ht="15" customHeight="1">
      <c r="B3" s="666"/>
      <c r="C3" s="666"/>
      <c r="D3" s="666"/>
      <c r="E3" s="666"/>
      <c r="F3" s="666"/>
      <c r="G3" s="666"/>
      <c r="H3" s="666"/>
      <c r="I3" s="666"/>
    </row>
    <row r="4" spans="2:9" ht="15" customHeight="1" thickBot="1">
      <c r="B4" s="63"/>
      <c r="C4" s="63"/>
      <c r="D4" s="63"/>
      <c r="E4" s="63"/>
      <c r="F4" s="63"/>
      <c r="G4" s="63"/>
      <c r="H4" s="63"/>
      <c r="I4" s="63"/>
    </row>
    <row r="5" spans="2:18" ht="24.75" customHeight="1" thickBot="1">
      <c r="B5" s="663" t="s">
        <v>38</v>
      </c>
      <c r="C5" s="664"/>
      <c r="D5" s="664"/>
      <c r="E5" s="664"/>
      <c r="F5" s="664"/>
      <c r="G5" s="664"/>
      <c r="H5" s="664"/>
      <c r="I5" s="665"/>
      <c r="K5" s="663" t="s">
        <v>176</v>
      </c>
      <c r="L5" s="664"/>
      <c r="M5" s="664"/>
      <c r="N5" s="664"/>
      <c r="O5" s="664"/>
      <c r="P5" s="664"/>
      <c r="Q5" s="664"/>
      <c r="R5" s="665"/>
    </row>
    <row r="6" spans="2:18" s="50" customFormat="1" ht="84.75" customHeight="1" thickBot="1">
      <c r="B6" s="287" t="s">
        <v>64</v>
      </c>
      <c r="C6" s="255" t="s">
        <v>61</v>
      </c>
      <c r="D6" s="288" t="s">
        <v>30</v>
      </c>
      <c r="E6" s="288" t="s">
        <v>31</v>
      </c>
      <c r="F6" s="288" t="s">
        <v>32</v>
      </c>
      <c r="G6" s="288" t="s">
        <v>33</v>
      </c>
      <c r="H6" s="288" t="s">
        <v>34</v>
      </c>
      <c r="I6" s="289" t="s">
        <v>35</v>
      </c>
      <c r="K6" s="287" t="s">
        <v>64</v>
      </c>
      <c r="L6" s="255" t="s">
        <v>61</v>
      </c>
      <c r="M6" s="288" t="s">
        <v>30</v>
      </c>
      <c r="N6" s="288" t="s">
        <v>31</v>
      </c>
      <c r="O6" s="288" t="s">
        <v>32</v>
      </c>
      <c r="P6" s="288" t="s">
        <v>33</v>
      </c>
      <c r="Q6" s="288" t="s">
        <v>34</v>
      </c>
      <c r="R6" s="289" t="s">
        <v>35</v>
      </c>
    </row>
    <row r="7" spans="2:18" ht="15" customHeight="1">
      <c r="B7" s="290"/>
      <c r="C7" s="49"/>
      <c r="D7" s="75"/>
      <c r="E7" s="44"/>
      <c r="F7" s="44"/>
      <c r="G7" s="44"/>
      <c r="H7" s="44"/>
      <c r="I7" s="45"/>
      <c r="K7" s="290"/>
      <c r="L7" s="49"/>
      <c r="M7" s="75"/>
      <c r="N7" s="44"/>
      <c r="O7" s="44"/>
      <c r="P7" s="44"/>
      <c r="Q7" s="44"/>
      <c r="R7" s="45"/>
    </row>
    <row r="8" spans="2:18" s="50" customFormat="1" ht="15" customHeight="1">
      <c r="B8" s="291" t="s">
        <v>51</v>
      </c>
      <c r="C8" s="81">
        <f>SUM(C11:C29)</f>
        <v>2329329</v>
      </c>
      <c r="D8" s="73">
        <f>SUM(D11:D29)</f>
        <v>75517</v>
      </c>
      <c r="E8" s="74">
        <f>+C8/D8</f>
        <v>30.845094482037158</v>
      </c>
      <c r="F8" s="74">
        <v>244.6</v>
      </c>
      <c r="G8" s="48">
        <f>SUM(G11:G29)</f>
        <v>524284</v>
      </c>
      <c r="H8" s="48">
        <f>SUM(H11:H29)</f>
        <v>381676</v>
      </c>
      <c r="I8" s="76">
        <f>+H8/G8</f>
        <v>0.7279947509365153</v>
      </c>
      <c r="K8" s="291" t="s">
        <v>51</v>
      </c>
      <c r="L8" s="81">
        <f>SUM(L11:L33)</f>
        <v>3405813</v>
      </c>
      <c r="M8" s="73">
        <f>SUM(M11:M33)</f>
        <v>75171.9</v>
      </c>
      <c r="N8" s="74">
        <f>+L8/M8</f>
        <v>45.30699636433295</v>
      </c>
      <c r="O8" s="74">
        <v>412.2</v>
      </c>
      <c r="P8" s="48">
        <f>SUM(P11:P33)</f>
        <v>896050</v>
      </c>
      <c r="Q8" s="48">
        <f>SUM(Q11:Q33)</f>
        <v>785708</v>
      </c>
      <c r="R8" s="76">
        <f>+Q8/P8</f>
        <v>0.8768573182300095</v>
      </c>
    </row>
    <row r="9" spans="2:18" s="50" customFormat="1" ht="15" customHeight="1" thickBot="1">
      <c r="B9" s="292"/>
      <c r="C9" s="82"/>
      <c r="D9" s="77"/>
      <c r="E9" s="78"/>
      <c r="F9" s="78"/>
      <c r="G9" s="79"/>
      <c r="H9" s="79"/>
      <c r="I9" s="80"/>
      <c r="K9" s="292"/>
      <c r="L9" s="82"/>
      <c r="M9" s="77"/>
      <c r="N9" s="78"/>
      <c r="O9" s="78"/>
      <c r="P9" s="79"/>
      <c r="Q9" s="79"/>
      <c r="R9" s="80"/>
    </row>
    <row r="10" spans="2:18" ht="15" customHeight="1">
      <c r="B10" s="293"/>
      <c r="C10" s="83"/>
      <c r="D10" s="70"/>
      <c r="E10" s="71"/>
      <c r="F10" s="71"/>
      <c r="G10" s="72"/>
      <c r="H10" s="72"/>
      <c r="I10" s="11"/>
      <c r="K10" s="293"/>
      <c r="L10" s="83"/>
      <c r="M10" s="70"/>
      <c r="N10" s="71"/>
      <c r="O10" s="71"/>
      <c r="P10" s="72"/>
      <c r="Q10" s="72"/>
      <c r="R10" s="11"/>
    </row>
    <row r="11" spans="2:18" ht="15" customHeight="1">
      <c r="B11" s="291" t="s">
        <v>52</v>
      </c>
      <c r="C11" s="84">
        <v>93361</v>
      </c>
      <c r="D11" s="66">
        <v>8745.4</v>
      </c>
      <c r="E11" s="14">
        <f>+C11/D11</f>
        <v>10.675440803165094</v>
      </c>
      <c r="F11" s="14">
        <v>222.9</v>
      </c>
      <c r="G11" s="47">
        <v>16471</v>
      </c>
      <c r="H11" s="47">
        <v>9546</v>
      </c>
      <c r="I11" s="67">
        <f>+H11/G11</f>
        <v>0.5795640823265132</v>
      </c>
      <c r="K11" s="291" t="s">
        <v>52</v>
      </c>
      <c r="L11" s="84">
        <v>125461</v>
      </c>
      <c r="M11" s="66">
        <v>4643.9</v>
      </c>
      <c r="N11" s="14">
        <f>+L11/M11</f>
        <v>27.016300953939577</v>
      </c>
      <c r="O11" s="14">
        <v>343</v>
      </c>
      <c r="P11" s="47">
        <v>24617</v>
      </c>
      <c r="Q11" s="47">
        <f>14963+313+723+409</f>
        <v>16408</v>
      </c>
      <c r="R11" s="67">
        <f>+Q11/P11</f>
        <v>0.6665312588861356</v>
      </c>
    </row>
    <row r="12" spans="2:18" ht="15" customHeight="1">
      <c r="B12" s="291"/>
      <c r="C12" s="52"/>
      <c r="D12" s="66"/>
      <c r="E12" s="14"/>
      <c r="F12" s="14"/>
      <c r="G12" s="47"/>
      <c r="H12" s="47"/>
      <c r="I12" s="10"/>
      <c r="K12" s="291"/>
      <c r="L12" s="52"/>
      <c r="M12" s="66"/>
      <c r="N12" s="14"/>
      <c r="O12" s="14"/>
      <c r="P12" s="47"/>
      <c r="Q12" s="47"/>
      <c r="R12" s="10"/>
    </row>
    <row r="13" spans="2:18" ht="15" customHeight="1">
      <c r="B13" s="291" t="s">
        <v>55</v>
      </c>
      <c r="C13" s="12">
        <v>173190</v>
      </c>
      <c r="D13" s="66">
        <v>4927.3</v>
      </c>
      <c r="E13" s="14">
        <f>+C13/D13</f>
        <v>35.14906744058612</v>
      </c>
      <c r="F13" s="14">
        <v>118.2</v>
      </c>
      <c r="G13" s="47">
        <v>35500</v>
      </c>
      <c r="H13" s="47">
        <v>17589</v>
      </c>
      <c r="I13" s="67">
        <f>+H13/G13</f>
        <v>0.49546478873239436</v>
      </c>
      <c r="K13" s="291" t="s">
        <v>55</v>
      </c>
      <c r="L13" s="12">
        <v>233708</v>
      </c>
      <c r="M13" s="66">
        <v>4949.8</v>
      </c>
      <c r="N13" s="14">
        <f>+L13/M13</f>
        <v>47.21564507656875</v>
      </c>
      <c r="O13" s="14">
        <v>301.1</v>
      </c>
      <c r="P13" s="47">
        <v>57193</v>
      </c>
      <c r="Q13" s="47">
        <f>41129+86+411+518</f>
        <v>42144</v>
      </c>
      <c r="R13" s="67">
        <f>+Q13/P13</f>
        <v>0.7368733935971186</v>
      </c>
    </row>
    <row r="14" spans="2:18" ht="15" customHeight="1">
      <c r="B14" s="291"/>
      <c r="C14" s="12"/>
      <c r="D14" s="66"/>
      <c r="E14" s="14"/>
      <c r="F14" s="14"/>
      <c r="G14" s="47"/>
      <c r="H14" s="47"/>
      <c r="I14" s="10"/>
      <c r="K14" s="291"/>
      <c r="L14" s="12"/>
      <c r="M14" s="66"/>
      <c r="N14" s="14"/>
      <c r="O14" s="14"/>
      <c r="P14" s="47"/>
      <c r="Q14" s="47"/>
      <c r="R14" s="10"/>
    </row>
    <row r="15" spans="2:18" ht="15" customHeight="1">
      <c r="B15" s="291" t="s">
        <v>57</v>
      </c>
      <c r="C15" s="12">
        <v>168294</v>
      </c>
      <c r="D15" s="66">
        <v>4890.1</v>
      </c>
      <c r="E15" s="14">
        <f>+C15/D15</f>
        <v>34.41524713196049</v>
      </c>
      <c r="F15" s="14">
        <v>263.4</v>
      </c>
      <c r="G15" s="47">
        <v>39867</v>
      </c>
      <c r="H15" s="47">
        <v>32025</v>
      </c>
      <c r="I15" s="67">
        <f>+H15/G15</f>
        <v>0.8032959590638874</v>
      </c>
      <c r="K15" s="291" t="s">
        <v>57</v>
      </c>
      <c r="L15" s="12">
        <v>241928</v>
      </c>
      <c r="M15" s="66">
        <v>4868.4</v>
      </c>
      <c r="N15" s="14">
        <f>+L15/M15</f>
        <v>49.69353380987594</v>
      </c>
      <c r="O15" s="14">
        <v>420.1</v>
      </c>
      <c r="P15" s="47">
        <v>63502</v>
      </c>
      <c r="Q15" s="47">
        <f>58021+176+400+446</f>
        <v>59043</v>
      </c>
      <c r="R15" s="67">
        <f>+Q15/P15</f>
        <v>0.9297817391578218</v>
      </c>
    </row>
    <row r="16" spans="2:18" ht="15" customHeight="1">
      <c r="B16" s="291"/>
      <c r="C16" s="12"/>
      <c r="D16" s="66"/>
      <c r="E16" s="14"/>
      <c r="F16" s="14"/>
      <c r="G16" s="47"/>
      <c r="H16" s="47"/>
      <c r="I16" s="10"/>
      <c r="K16" s="291"/>
      <c r="L16" s="12"/>
      <c r="M16" s="66"/>
      <c r="N16" s="14"/>
      <c r="O16" s="14"/>
      <c r="P16" s="47"/>
      <c r="Q16" s="47"/>
      <c r="R16" s="10"/>
    </row>
    <row r="17" spans="2:18" ht="15" customHeight="1">
      <c r="B17" s="291" t="s">
        <v>60</v>
      </c>
      <c r="C17" s="12">
        <v>370227</v>
      </c>
      <c r="D17" s="66">
        <v>8653.3</v>
      </c>
      <c r="E17" s="14">
        <f>+C17/D17</f>
        <v>42.78448684316966</v>
      </c>
      <c r="F17" s="14">
        <v>180.7</v>
      </c>
      <c r="G17" s="47">
        <v>80111</v>
      </c>
      <c r="H17" s="47">
        <v>49698</v>
      </c>
      <c r="I17" s="67">
        <f>+H17/G17</f>
        <v>0.6203642446106028</v>
      </c>
      <c r="K17" s="291" t="s">
        <v>60</v>
      </c>
      <c r="L17" s="12">
        <v>416873</v>
      </c>
      <c r="M17" s="66">
        <v>6585.5</v>
      </c>
      <c r="N17" s="14">
        <f>+L17/M17</f>
        <v>63.3016475590312</v>
      </c>
      <c r="O17" s="14">
        <v>302.5</v>
      </c>
      <c r="P17" s="47">
        <v>113012</v>
      </c>
      <c r="Q17" s="47">
        <f>98457+430+525+746</f>
        <v>100158</v>
      </c>
      <c r="R17" s="67">
        <f>+Q17/P17</f>
        <v>0.8862598662088982</v>
      </c>
    </row>
    <row r="18" spans="2:18" ht="15" customHeight="1">
      <c r="B18" s="291"/>
      <c r="C18" s="12"/>
      <c r="D18" s="66"/>
      <c r="E18" s="14"/>
      <c r="F18" s="14"/>
      <c r="G18" s="47"/>
      <c r="H18" s="47"/>
      <c r="I18" s="10"/>
      <c r="K18" s="291"/>
      <c r="L18" s="12"/>
      <c r="M18" s="66"/>
      <c r="N18" s="14"/>
      <c r="O18" s="14"/>
      <c r="P18" s="47"/>
      <c r="Q18" s="47"/>
      <c r="R18" s="10"/>
    </row>
    <row r="19" spans="2:18" ht="15" customHeight="1">
      <c r="B19" s="291" t="s">
        <v>65</v>
      </c>
      <c r="C19" s="12">
        <v>43832</v>
      </c>
      <c r="D19" s="66">
        <v>16671</v>
      </c>
      <c r="E19" s="14">
        <f aca="true" t="shared" si="0" ref="E19:E29">+C19/D19</f>
        <v>2.6292363985363805</v>
      </c>
      <c r="F19" s="14">
        <v>80.2</v>
      </c>
      <c r="G19" s="47">
        <v>9248</v>
      </c>
      <c r="H19" s="47">
        <v>1704</v>
      </c>
      <c r="I19" s="67">
        <f>+H19/G19</f>
        <v>0.1842560553633218</v>
      </c>
      <c r="K19" s="291" t="s">
        <v>65</v>
      </c>
      <c r="L19" s="12">
        <v>48378</v>
      </c>
      <c r="M19" s="66">
        <v>11896.5</v>
      </c>
      <c r="N19" s="14">
        <f>+L19/M19</f>
        <v>4.066574202496533</v>
      </c>
      <c r="O19" s="14">
        <v>237.3</v>
      </c>
      <c r="P19" s="47">
        <v>11906</v>
      </c>
      <c r="Q19" s="47">
        <f>6685+258+261+785</f>
        <v>7989</v>
      </c>
      <c r="R19" s="67">
        <f>+Q19/P19</f>
        <v>0.6710062153536033</v>
      </c>
    </row>
    <row r="20" spans="2:18" ht="15" customHeight="1">
      <c r="B20" s="291"/>
      <c r="C20" s="12"/>
      <c r="D20" s="66"/>
      <c r="E20" s="14"/>
      <c r="F20" s="14"/>
      <c r="G20" s="47"/>
      <c r="H20" s="47"/>
      <c r="I20" s="10"/>
      <c r="K20" s="291"/>
      <c r="L20" s="12"/>
      <c r="M20" s="66"/>
      <c r="N20" s="14"/>
      <c r="O20" s="14"/>
      <c r="P20" s="47"/>
      <c r="Q20" s="47"/>
      <c r="R20" s="10"/>
    </row>
    <row r="21" spans="2:18" ht="15" customHeight="1">
      <c r="B21" s="291" t="s">
        <v>56</v>
      </c>
      <c r="C21" s="12">
        <v>93681</v>
      </c>
      <c r="D21" s="66">
        <v>2340.7</v>
      </c>
      <c r="E21" s="14">
        <f t="shared" si="0"/>
        <v>40.02264279916265</v>
      </c>
      <c r="F21" s="14">
        <v>135.6</v>
      </c>
      <c r="G21" s="47">
        <v>22802</v>
      </c>
      <c r="H21" s="47">
        <v>15389</v>
      </c>
      <c r="I21" s="67">
        <f>+H21/G21</f>
        <v>0.6748969388650118</v>
      </c>
      <c r="K21" s="291" t="s">
        <v>56</v>
      </c>
      <c r="L21" s="12">
        <v>109955</v>
      </c>
      <c r="M21" s="66">
        <v>2363.2</v>
      </c>
      <c r="N21" s="14">
        <f>+L21/M21</f>
        <v>46.52801286391334</v>
      </c>
      <c r="O21" s="14">
        <v>291.1</v>
      </c>
      <c r="P21" s="47">
        <v>32591</v>
      </c>
      <c r="Q21" s="47">
        <f>29115+15+79+195</f>
        <v>29404</v>
      </c>
      <c r="R21" s="67">
        <f>+Q21/P21</f>
        <v>0.9022122671903287</v>
      </c>
    </row>
    <row r="22" spans="2:18" ht="15" customHeight="1">
      <c r="B22" s="291"/>
      <c r="C22" s="12"/>
      <c r="D22" s="66"/>
      <c r="E22" s="14"/>
      <c r="F22" s="14"/>
      <c r="G22" s="47"/>
      <c r="H22" s="47"/>
      <c r="I22" s="10"/>
      <c r="K22" s="291"/>
      <c r="L22" s="12"/>
      <c r="M22" s="66"/>
      <c r="N22" s="14"/>
      <c r="O22" s="14"/>
      <c r="P22" s="47"/>
      <c r="Q22" s="47"/>
      <c r="R22" s="10"/>
    </row>
    <row r="23" spans="2:18" ht="15" customHeight="1">
      <c r="B23" s="291" t="s">
        <v>59</v>
      </c>
      <c r="C23" s="12">
        <v>76947</v>
      </c>
      <c r="D23" s="66">
        <v>3805.5</v>
      </c>
      <c r="E23" s="14">
        <f t="shared" si="0"/>
        <v>20.21994481671265</v>
      </c>
      <c r="F23" s="14">
        <v>135.2</v>
      </c>
      <c r="G23" s="47">
        <v>21483</v>
      </c>
      <c r="H23" s="47">
        <v>14999</v>
      </c>
      <c r="I23" s="67">
        <f>+H23/G23</f>
        <v>0.6981799562444724</v>
      </c>
      <c r="K23" s="291" t="s">
        <v>59</v>
      </c>
      <c r="L23" s="12">
        <v>89592</v>
      </c>
      <c r="M23" s="66">
        <v>3804.6</v>
      </c>
      <c r="N23" s="14">
        <f>+L23/M23</f>
        <v>23.548336224570257</v>
      </c>
      <c r="O23" s="14">
        <v>274.3</v>
      </c>
      <c r="P23" s="47">
        <v>29363</v>
      </c>
      <c r="Q23" s="47">
        <f>26960+96+1036+511</f>
        <v>28603</v>
      </c>
      <c r="R23" s="67">
        <f>+Q23/P23</f>
        <v>0.9741170861288015</v>
      </c>
    </row>
    <row r="24" spans="2:18" ht="15" customHeight="1">
      <c r="B24" s="291"/>
      <c r="C24" s="12"/>
      <c r="D24" s="66"/>
      <c r="E24" s="14"/>
      <c r="F24" s="14"/>
      <c r="G24" s="47"/>
      <c r="H24" s="47"/>
      <c r="I24" s="10"/>
      <c r="K24" s="291"/>
      <c r="L24" s="12"/>
      <c r="M24" s="66"/>
      <c r="N24" s="14"/>
      <c r="O24" s="14"/>
      <c r="P24" s="47"/>
      <c r="Q24" s="47"/>
      <c r="R24" s="10"/>
    </row>
    <row r="25" spans="2:18" ht="15" customHeight="1">
      <c r="B25" s="291" t="s">
        <v>54</v>
      </c>
      <c r="C25" s="12">
        <v>1072127</v>
      </c>
      <c r="D25" s="66">
        <v>11887.4</v>
      </c>
      <c r="E25" s="14">
        <f t="shared" si="0"/>
        <v>90.19020138970676</v>
      </c>
      <c r="F25" s="14">
        <v>381.4</v>
      </c>
      <c r="G25" s="47">
        <v>251701</v>
      </c>
      <c r="H25" s="47">
        <v>223214</v>
      </c>
      <c r="I25" s="67">
        <f>+H25/G25</f>
        <v>0.8868220626854879</v>
      </c>
      <c r="K25" s="291" t="s">
        <v>54</v>
      </c>
      <c r="L25" s="12">
        <v>1713070</v>
      </c>
      <c r="M25" s="66">
        <v>11670.9</v>
      </c>
      <c r="N25" s="14">
        <f>+L25/M25</f>
        <v>146.78131078151642</v>
      </c>
      <c r="O25" s="14">
        <v>473.1</v>
      </c>
      <c r="P25" s="47">
        <v>470465</v>
      </c>
      <c r="Q25" s="47">
        <f>453283+2205+1010+1020</f>
        <v>457518</v>
      </c>
      <c r="R25" s="67">
        <f>+Q25/P25</f>
        <v>0.9724804183095448</v>
      </c>
    </row>
    <row r="26" spans="2:18" ht="15" customHeight="1">
      <c r="B26" s="291"/>
      <c r="C26" s="12"/>
      <c r="D26" s="66"/>
      <c r="E26" s="14"/>
      <c r="F26" s="14"/>
      <c r="G26" s="47"/>
      <c r="H26" s="47"/>
      <c r="I26" s="10"/>
      <c r="K26" s="291"/>
      <c r="L26" s="12"/>
      <c r="M26" s="66"/>
      <c r="N26" s="14"/>
      <c r="O26" s="14"/>
      <c r="P26" s="47"/>
      <c r="Q26" s="47"/>
      <c r="R26" s="10"/>
    </row>
    <row r="27" spans="2:18" ht="15" customHeight="1">
      <c r="B27" s="291" t="s">
        <v>58</v>
      </c>
      <c r="C27" s="12">
        <v>203626</v>
      </c>
      <c r="D27" s="66">
        <v>11239.3</v>
      </c>
      <c r="E27" s="14">
        <f t="shared" si="0"/>
        <v>18.11732047369498</v>
      </c>
      <c r="F27" s="14">
        <v>87.7</v>
      </c>
      <c r="G27" s="47">
        <v>42783</v>
      </c>
      <c r="H27" s="47">
        <v>17188</v>
      </c>
      <c r="I27" s="67">
        <f>+H27/G27</f>
        <v>0.4017483579926606</v>
      </c>
      <c r="K27" s="291" t="s">
        <v>58</v>
      </c>
      <c r="L27" s="12">
        <v>226991</v>
      </c>
      <c r="M27" s="66">
        <v>10696.8</v>
      </c>
      <c r="N27" s="14">
        <f>+L27/M27</f>
        <v>21.220458454865007</v>
      </c>
      <c r="O27" s="14">
        <v>319.9</v>
      </c>
      <c r="P27" s="47">
        <v>60208</v>
      </c>
      <c r="Q27" s="47">
        <f>39571+90+338+722</f>
        <v>40721</v>
      </c>
      <c r="R27" s="67">
        <f>+Q27/P27</f>
        <v>0.6763386925325539</v>
      </c>
    </row>
    <row r="28" spans="2:18" ht="15" customHeight="1">
      <c r="B28" s="291"/>
      <c r="C28" s="12"/>
      <c r="D28" s="66"/>
      <c r="E28" s="14"/>
      <c r="F28" s="14"/>
      <c r="G28" s="47"/>
      <c r="H28" s="47"/>
      <c r="I28" s="10"/>
      <c r="K28" s="291"/>
      <c r="L28" s="12"/>
      <c r="M28" s="66"/>
      <c r="N28" s="14"/>
      <c r="O28" s="14"/>
      <c r="P28" s="47"/>
      <c r="Q28" s="47"/>
      <c r="R28" s="10"/>
    </row>
    <row r="29" spans="2:18" ht="15" customHeight="1">
      <c r="B29" s="291" t="s">
        <v>179</v>
      </c>
      <c r="C29" s="12">
        <v>34044</v>
      </c>
      <c r="D29" s="66">
        <v>2357</v>
      </c>
      <c r="E29" s="14">
        <f t="shared" si="0"/>
        <v>14.443784471786168</v>
      </c>
      <c r="F29" s="14">
        <v>75</v>
      </c>
      <c r="G29" s="47">
        <v>4318</v>
      </c>
      <c r="H29" s="47">
        <v>324</v>
      </c>
      <c r="I29" s="67">
        <f>+H29/G29</f>
        <v>0.07503473830477073</v>
      </c>
      <c r="K29" s="291" t="s">
        <v>177</v>
      </c>
      <c r="L29" s="12">
        <v>33109</v>
      </c>
      <c r="M29" s="66">
        <v>2340.7</v>
      </c>
      <c r="N29" s="14">
        <f>+L29/M29</f>
        <v>14.14491391464092</v>
      </c>
      <c r="O29" s="14"/>
      <c r="P29" s="47">
        <v>4997</v>
      </c>
      <c r="Q29" s="47">
        <f>358+523+67+657</f>
        <v>1605</v>
      </c>
      <c r="R29" s="67">
        <f>+Q29/P29</f>
        <v>0.3211927156293776</v>
      </c>
    </row>
    <row r="30" spans="2:18" ht="15" customHeight="1" thickBot="1">
      <c r="B30" s="292"/>
      <c r="C30" s="53"/>
      <c r="D30" s="68"/>
      <c r="E30" s="15"/>
      <c r="F30" s="15"/>
      <c r="G30" s="51"/>
      <c r="H30" s="51"/>
      <c r="I30" s="69"/>
      <c r="K30" s="349"/>
      <c r="L30" s="351"/>
      <c r="M30" s="344"/>
      <c r="N30" s="345"/>
      <c r="O30" s="345"/>
      <c r="P30" s="346"/>
      <c r="Q30" s="346"/>
      <c r="R30" s="347"/>
    </row>
    <row r="31" spans="2:18" ht="15" customHeight="1">
      <c r="B31"/>
      <c r="C31" s="9"/>
      <c r="D31" s="24"/>
      <c r="E31" s="85"/>
      <c r="F31" s="85"/>
      <c r="G31" s="9"/>
      <c r="H31" s="9"/>
      <c r="I31" s="86"/>
      <c r="K31" s="350" t="s">
        <v>36</v>
      </c>
      <c r="L31" s="352">
        <v>10001</v>
      </c>
      <c r="M31" s="66">
        <v>4383.6</v>
      </c>
      <c r="N31" s="14">
        <f>+L31/M31</f>
        <v>2.2814581622410803</v>
      </c>
      <c r="O31" s="14"/>
      <c r="P31" s="47">
        <v>1940</v>
      </c>
      <c r="Q31" s="47">
        <f>625+53+55</f>
        <v>733</v>
      </c>
      <c r="R31" s="67">
        <f>+Q31/P31</f>
        <v>0.37783505154639174</v>
      </c>
    </row>
    <row r="32" spans="2:18" ht="15" customHeight="1">
      <c r="B32"/>
      <c r="C32" s="9"/>
      <c r="D32" s="24"/>
      <c r="E32" s="85"/>
      <c r="F32" s="85"/>
      <c r="G32" s="9"/>
      <c r="H32" s="9"/>
      <c r="I32" s="86"/>
      <c r="K32" s="350"/>
      <c r="L32" s="352"/>
      <c r="M32" s="66"/>
      <c r="N32" s="14"/>
      <c r="O32" s="14"/>
      <c r="P32" s="47"/>
      <c r="Q32" s="47"/>
      <c r="R32" s="67"/>
    </row>
    <row r="33" spans="2:18" ht="15" customHeight="1">
      <c r="B33" s="46"/>
      <c r="C33" s="9"/>
      <c r="D33" s="24"/>
      <c r="E33" s="85"/>
      <c r="F33" s="85"/>
      <c r="G33" s="9"/>
      <c r="H33" s="9"/>
      <c r="I33" s="86"/>
      <c r="K33" s="350" t="s">
        <v>178</v>
      </c>
      <c r="L33" s="352">
        <v>156747</v>
      </c>
      <c r="M33" s="354">
        <v>6968</v>
      </c>
      <c r="N33" s="14">
        <f>+L33/M33</f>
        <v>22.495264064293917</v>
      </c>
      <c r="O33" s="348"/>
      <c r="P33" s="47">
        <v>26256</v>
      </c>
      <c r="Q33" s="47">
        <f>584+99+311+388</f>
        <v>1382</v>
      </c>
      <c r="R33" s="67">
        <f>+Q33/P33</f>
        <v>0.05263558805606337</v>
      </c>
    </row>
    <row r="34" spans="2:18" ht="15" customHeight="1" thickBot="1">
      <c r="B34" s="64"/>
      <c r="C34" s="65"/>
      <c r="D34" s="65"/>
      <c r="E34" s="64"/>
      <c r="F34" s="64"/>
      <c r="G34" s="64"/>
      <c r="H34" s="64"/>
      <c r="I34" s="64"/>
      <c r="K34" s="353"/>
      <c r="L34" s="342"/>
      <c r="M34" s="64"/>
      <c r="N34" s="64"/>
      <c r="O34" s="64"/>
      <c r="P34" s="64"/>
      <c r="Q34" s="64"/>
      <c r="R34" s="343"/>
    </row>
    <row r="35" spans="2:9" ht="24.75" customHeight="1" thickBot="1">
      <c r="B35" s="663" t="s">
        <v>39</v>
      </c>
      <c r="C35" s="664"/>
      <c r="D35" s="664"/>
      <c r="E35" s="664"/>
      <c r="F35" s="664"/>
      <c r="G35" s="664"/>
      <c r="H35" s="664"/>
      <c r="I35" s="665"/>
    </row>
    <row r="36" spans="2:9" s="50" customFormat="1" ht="84.75" customHeight="1" thickBot="1">
      <c r="B36" s="287" t="s">
        <v>64</v>
      </c>
      <c r="C36" s="255" t="s">
        <v>61</v>
      </c>
      <c r="D36" s="288" t="s">
        <v>30</v>
      </c>
      <c r="E36" s="288" t="s">
        <v>31</v>
      </c>
      <c r="F36" s="288" t="s">
        <v>32</v>
      </c>
      <c r="G36" s="288" t="s">
        <v>33</v>
      </c>
      <c r="H36" s="288" t="s">
        <v>34</v>
      </c>
      <c r="I36" s="289" t="s">
        <v>35</v>
      </c>
    </row>
    <row r="37" spans="2:9" ht="15" customHeight="1">
      <c r="B37" s="290"/>
      <c r="C37" s="49"/>
      <c r="D37" s="75"/>
      <c r="E37" s="44"/>
      <c r="F37" s="44"/>
      <c r="G37" s="44"/>
      <c r="H37" s="44"/>
      <c r="I37" s="45"/>
    </row>
    <row r="38" spans="2:9" s="50" customFormat="1" ht="15" customHeight="1">
      <c r="B38" s="291" t="s">
        <v>51</v>
      </c>
      <c r="C38" s="81">
        <f>SUM(C41:C63)</f>
        <v>2839177</v>
      </c>
      <c r="D38" s="73">
        <f>SUM(D41:D63)</f>
        <v>75517</v>
      </c>
      <c r="E38" s="74">
        <f>+C38/D38</f>
        <v>37.59652793410755</v>
      </c>
      <c r="F38" s="74">
        <v>380.3</v>
      </c>
      <c r="G38" s="48">
        <f>SUM(G41:G63)</f>
        <v>681799</v>
      </c>
      <c r="H38" s="48">
        <f>SUM(H41:H63)</f>
        <v>554994</v>
      </c>
      <c r="I38" s="76">
        <f>+H38/G38</f>
        <v>0.8140141009300395</v>
      </c>
    </row>
    <row r="39" spans="2:9" s="50" customFormat="1" ht="15" customHeight="1" thickBot="1">
      <c r="B39" s="292"/>
      <c r="C39" s="82"/>
      <c r="D39" s="77"/>
      <c r="E39" s="78"/>
      <c r="F39" s="78"/>
      <c r="G39" s="79"/>
      <c r="H39" s="79"/>
      <c r="I39" s="80"/>
    </row>
    <row r="40" spans="2:9" ht="15" customHeight="1">
      <c r="B40" s="293"/>
      <c r="C40" s="83"/>
      <c r="D40" s="70"/>
      <c r="E40" s="71"/>
      <c r="F40" s="71"/>
      <c r="G40" s="72"/>
      <c r="H40" s="72"/>
      <c r="I40" s="11"/>
    </row>
    <row r="41" spans="2:9" ht="15" customHeight="1">
      <c r="B41" s="291" t="s">
        <v>52</v>
      </c>
      <c r="C41" s="84">
        <v>89269</v>
      </c>
      <c r="D41" s="66">
        <v>4601.3</v>
      </c>
      <c r="E41" s="14">
        <f>+C41/D41</f>
        <v>19.40082150696542</v>
      </c>
      <c r="F41" s="14">
        <v>282.6</v>
      </c>
      <c r="G41" s="47">
        <v>16999</v>
      </c>
      <c r="H41" s="47">
        <v>11560</v>
      </c>
      <c r="I41" s="67">
        <f>+H41/G41</f>
        <v>0.6800400023530796</v>
      </c>
    </row>
    <row r="42" spans="2:9" ht="15" customHeight="1">
      <c r="B42" s="291"/>
      <c r="C42" s="52"/>
      <c r="D42" s="66"/>
      <c r="E42" s="14"/>
      <c r="F42" s="14"/>
      <c r="G42" s="47"/>
      <c r="H42" s="47"/>
      <c r="I42" s="10"/>
    </row>
    <row r="43" spans="2:9" ht="15" customHeight="1">
      <c r="B43" s="291" t="s">
        <v>55</v>
      </c>
      <c r="C43" s="12">
        <v>202461</v>
      </c>
      <c r="D43" s="66">
        <v>4927.4</v>
      </c>
      <c r="E43" s="14">
        <f>+C43/D43</f>
        <v>41.088809514145396</v>
      </c>
      <c r="F43" s="14">
        <v>220.6</v>
      </c>
      <c r="G43" s="47">
        <v>44496</v>
      </c>
      <c r="H43" s="47">
        <v>27593</v>
      </c>
      <c r="I43" s="67">
        <f>+H43/G43</f>
        <v>0.6201231571377203</v>
      </c>
    </row>
    <row r="44" spans="2:9" ht="15" customHeight="1">
      <c r="B44" s="291"/>
      <c r="C44" s="12"/>
      <c r="D44" s="66"/>
      <c r="E44" s="14"/>
      <c r="F44" s="14"/>
      <c r="G44" s="47"/>
      <c r="H44" s="47"/>
      <c r="I44" s="10"/>
    </row>
    <row r="45" spans="2:9" ht="15" customHeight="1">
      <c r="B45" s="291" t="s">
        <v>57</v>
      </c>
      <c r="C45" s="12">
        <v>204208</v>
      </c>
      <c r="D45" s="66">
        <v>4890.5</v>
      </c>
      <c r="E45" s="14">
        <f>+C45/D45</f>
        <v>41.756057662815664</v>
      </c>
      <c r="F45" s="14">
        <v>377.6</v>
      </c>
      <c r="G45" s="47">
        <v>49715</v>
      </c>
      <c r="H45" s="47">
        <v>43030</v>
      </c>
      <c r="I45" s="67">
        <f>+H45/G45</f>
        <v>0.8655335411847531</v>
      </c>
    </row>
    <row r="46" spans="2:9" ht="15" customHeight="1">
      <c r="B46" s="291"/>
      <c r="C46" s="12"/>
      <c r="D46" s="66"/>
      <c r="E46" s="14"/>
      <c r="F46" s="14"/>
      <c r="G46" s="47"/>
      <c r="H46" s="47"/>
      <c r="I46" s="10"/>
    </row>
    <row r="47" spans="2:9" ht="15" customHeight="1">
      <c r="B47" s="291" t="s">
        <v>60</v>
      </c>
      <c r="C47" s="12">
        <v>368790</v>
      </c>
      <c r="D47" s="66">
        <v>6476.5</v>
      </c>
      <c r="E47" s="14">
        <f>+C47/D47</f>
        <v>56.94279317532618</v>
      </c>
      <c r="F47" s="14">
        <v>302.1</v>
      </c>
      <c r="G47" s="47">
        <v>87509</v>
      </c>
      <c r="H47" s="47">
        <v>70397</v>
      </c>
      <c r="I47" s="67">
        <f>+H47/G47</f>
        <v>0.8044543989761053</v>
      </c>
    </row>
    <row r="48" spans="2:9" ht="15" customHeight="1">
      <c r="B48" s="291"/>
      <c r="C48" s="12"/>
      <c r="D48" s="66"/>
      <c r="E48" s="14"/>
      <c r="F48" s="14"/>
      <c r="G48" s="47"/>
      <c r="H48" s="47"/>
      <c r="I48" s="10"/>
    </row>
    <row r="49" spans="2:9" ht="15" customHeight="1">
      <c r="B49" s="291" t="s">
        <v>65</v>
      </c>
      <c r="C49" s="12">
        <v>40284</v>
      </c>
      <c r="D49" s="66">
        <v>11865.6</v>
      </c>
      <c r="E49" s="14">
        <f>+C49/D49</f>
        <v>3.39502427184466</v>
      </c>
      <c r="F49" s="14">
        <v>116.5</v>
      </c>
      <c r="G49" s="47">
        <v>9088</v>
      </c>
      <c r="H49" s="47">
        <v>3346</v>
      </c>
      <c r="I49" s="67">
        <f>+H49/G49</f>
        <v>0.36817781690140844</v>
      </c>
    </row>
    <row r="50" spans="2:9" ht="15" customHeight="1">
      <c r="B50" s="291"/>
      <c r="C50" s="12"/>
      <c r="D50" s="66"/>
      <c r="E50" s="14"/>
      <c r="F50" s="14"/>
      <c r="G50" s="47"/>
      <c r="H50" s="47"/>
      <c r="I50" s="10"/>
    </row>
    <row r="51" spans="2:9" ht="15" customHeight="1">
      <c r="B51" s="291" t="s">
        <v>56</v>
      </c>
      <c r="C51" s="12">
        <v>102465</v>
      </c>
      <c r="D51" s="66">
        <v>2340.8</v>
      </c>
      <c r="E51" s="14">
        <f>+C51/D51</f>
        <v>43.7734962406015</v>
      </c>
      <c r="F51" s="14">
        <v>249.8</v>
      </c>
      <c r="G51" s="47">
        <v>27202</v>
      </c>
      <c r="H51" s="47">
        <v>22144</v>
      </c>
      <c r="I51" s="67">
        <f>+H51/G51</f>
        <v>0.8140577898683921</v>
      </c>
    </row>
    <row r="52" spans="2:9" ht="15" customHeight="1">
      <c r="B52" s="291"/>
      <c r="C52" s="12"/>
      <c r="D52" s="66"/>
      <c r="E52" s="14"/>
      <c r="F52" s="14"/>
      <c r="G52" s="47"/>
      <c r="H52" s="47"/>
      <c r="I52" s="10"/>
    </row>
    <row r="53" spans="2:9" ht="15" customHeight="1">
      <c r="B53" s="291" t="s">
        <v>59</v>
      </c>
      <c r="C53" s="12">
        <v>83495</v>
      </c>
      <c r="D53" s="66">
        <v>3805.4</v>
      </c>
      <c r="E53" s="14">
        <f>+C53/D53</f>
        <v>21.941188836915963</v>
      </c>
      <c r="F53" s="14">
        <v>235.7</v>
      </c>
      <c r="G53" s="47">
        <v>25052</v>
      </c>
      <c r="H53" s="47">
        <v>20844</v>
      </c>
      <c r="I53" s="67">
        <f>+H53/G53</f>
        <v>0.8320293788919049</v>
      </c>
    </row>
    <row r="54" spans="2:9" ht="15" customHeight="1">
      <c r="B54" s="291"/>
      <c r="C54" s="12"/>
      <c r="D54" s="66"/>
      <c r="E54" s="14"/>
      <c r="F54" s="14"/>
      <c r="G54" s="47"/>
      <c r="H54" s="47"/>
      <c r="I54" s="10"/>
    </row>
    <row r="55" spans="2:9" ht="15" customHeight="1">
      <c r="B55" s="291" t="s">
        <v>54</v>
      </c>
      <c r="C55" s="12">
        <v>1388357</v>
      </c>
      <c r="D55" s="66">
        <v>11951.9</v>
      </c>
      <c r="E55" s="14">
        <f>+C55/D55</f>
        <v>116.16203281486627</v>
      </c>
      <c r="F55" s="14">
        <v>540.4</v>
      </c>
      <c r="G55" s="47">
        <v>350345</v>
      </c>
      <c r="H55" s="47">
        <v>328588</v>
      </c>
      <c r="I55" s="67">
        <f>+H55/G55</f>
        <v>0.9378983573334856</v>
      </c>
    </row>
    <row r="56" spans="2:9" ht="15" customHeight="1">
      <c r="B56" s="291"/>
      <c r="C56" s="12"/>
      <c r="D56" s="66"/>
      <c r="E56" s="14"/>
      <c r="F56" s="14"/>
      <c r="G56" s="47"/>
      <c r="H56" s="47"/>
      <c r="I56" s="10"/>
    </row>
    <row r="57" spans="2:9" ht="15" customHeight="1">
      <c r="B57" s="291" t="s">
        <v>58</v>
      </c>
      <c r="C57" s="12">
        <v>209076</v>
      </c>
      <c r="D57" s="66">
        <v>10677.2</v>
      </c>
      <c r="E57" s="14">
        <f>+C57/D57</f>
        <v>19.581538230996888</v>
      </c>
      <c r="F57" s="14">
        <v>166.9</v>
      </c>
      <c r="G57" s="47">
        <v>49102</v>
      </c>
      <c r="H57" s="47">
        <v>26509</v>
      </c>
      <c r="I57" s="67">
        <f>+H57/G57</f>
        <v>0.5398761761231722</v>
      </c>
    </row>
    <row r="58" spans="2:9" ht="15" customHeight="1">
      <c r="B58" s="291"/>
      <c r="C58" s="12"/>
      <c r="D58" s="66"/>
      <c r="E58" s="14"/>
      <c r="F58" s="14"/>
      <c r="G58" s="47"/>
      <c r="H58" s="47"/>
      <c r="I58" s="10"/>
    </row>
    <row r="59" spans="2:9" ht="15" customHeight="1">
      <c r="B59" s="291" t="s">
        <v>179</v>
      </c>
      <c r="C59" s="12">
        <v>32446</v>
      </c>
      <c r="D59" s="66">
        <v>2393.1</v>
      </c>
      <c r="E59" s="14">
        <f>+C59/D59</f>
        <v>13.558146337386654</v>
      </c>
      <c r="F59" s="14">
        <v>76.4</v>
      </c>
      <c r="G59" s="47">
        <v>4281</v>
      </c>
      <c r="H59" s="47">
        <v>337</v>
      </c>
      <c r="I59" s="87">
        <f>+H59/G59</f>
        <v>0.07871992525110956</v>
      </c>
    </row>
    <row r="60" spans="2:9" ht="15" customHeight="1">
      <c r="B60" s="291"/>
      <c r="C60" s="12"/>
      <c r="D60" s="66"/>
      <c r="E60" s="14"/>
      <c r="F60" s="14"/>
      <c r="G60" s="47"/>
      <c r="H60" s="47"/>
      <c r="I60" s="10"/>
    </row>
    <row r="61" spans="2:9" ht="15" customHeight="1">
      <c r="B61" s="291" t="s">
        <v>36</v>
      </c>
      <c r="C61" s="12">
        <v>8246</v>
      </c>
      <c r="D61" s="66">
        <v>4805.4</v>
      </c>
      <c r="E61" s="14">
        <f>+C61/D61</f>
        <v>1.7159861822116786</v>
      </c>
      <c r="F61" s="14">
        <v>79.7</v>
      </c>
      <c r="G61" s="47">
        <v>1498</v>
      </c>
      <c r="H61" s="47">
        <v>253</v>
      </c>
      <c r="I61" s="87">
        <f>+H61/G61</f>
        <v>0.16889185580774366</v>
      </c>
    </row>
    <row r="62" spans="2:9" ht="15" customHeight="1">
      <c r="B62" s="291"/>
      <c r="C62" s="12"/>
      <c r="D62" s="66"/>
      <c r="E62" s="14"/>
      <c r="F62" s="14"/>
      <c r="G62" s="47"/>
      <c r="H62" s="47"/>
      <c r="I62" s="10"/>
    </row>
    <row r="63" spans="2:9" ht="15" customHeight="1">
      <c r="B63" s="291" t="s">
        <v>37</v>
      </c>
      <c r="C63" s="12">
        <v>110080</v>
      </c>
      <c r="D63" s="66">
        <v>6781.9</v>
      </c>
      <c r="E63" s="14">
        <f>+C63/D63</f>
        <v>16.231439567082973</v>
      </c>
      <c r="F63" s="14">
        <v>60</v>
      </c>
      <c r="G63" s="47">
        <v>16512</v>
      </c>
      <c r="H63" s="47">
        <v>393</v>
      </c>
      <c r="I63" s="67">
        <f>+H63/G63</f>
        <v>0.023800872093023256</v>
      </c>
    </row>
    <row r="64" spans="2:9" ht="15" customHeight="1" thickBot="1">
      <c r="B64" s="292"/>
      <c r="C64" s="53"/>
      <c r="D64" s="68"/>
      <c r="E64" s="15"/>
      <c r="F64" s="15"/>
      <c r="G64" s="51"/>
      <c r="H64" s="51"/>
      <c r="I64" s="69"/>
    </row>
    <row r="65" spans="2:9" ht="15" customHeight="1">
      <c r="B65" s="46"/>
      <c r="C65" s="9"/>
      <c r="D65" s="24"/>
      <c r="E65" s="85"/>
      <c r="F65" s="85"/>
      <c r="G65" s="9"/>
      <c r="H65" s="9"/>
      <c r="I65" s="86"/>
    </row>
    <row r="66" spans="2:9" s="5" customFormat="1" ht="15" customHeight="1">
      <c r="B66" s="667" t="s">
        <v>66</v>
      </c>
      <c r="C66" s="667"/>
      <c r="D66" s="667"/>
      <c r="E66" s="667"/>
      <c r="F66" s="667"/>
      <c r="G66" s="667"/>
      <c r="H66" s="667"/>
      <c r="I66" s="667"/>
    </row>
  </sheetData>
  <sheetProtection/>
  <mergeCells count="7">
    <mergeCell ref="K5:R5"/>
    <mergeCell ref="B1:R1"/>
    <mergeCell ref="B2:R2"/>
    <mergeCell ref="B66:I66"/>
    <mergeCell ref="B5:I5"/>
    <mergeCell ref="B35:I35"/>
    <mergeCell ref="B3:I3"/>
  </mergeCells>
  <printOptions horizontalCentered="1"/>
  <pageMargins left="0.7874015748031497" right="0.3937007874015748" top="0.3937007874015748" bottom="0.7874015748031497" header="0" footer="0"/>
  <pageSetup fitToHeight="1" fitToWidth="1" horizontalDpi="300" verticalDpi="300" orientation="portrait" scale="32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M95"/>
  <sheetViews>
    <sheetView zoomScale="75" zoomScaleNormal="75" zoomScalePageLayoutView="0" workbookViewId="0" topLeftCell="U7">
      <selection activeCell="AM36" sqref="AM36"/>
    </sheetView>
  </sheetViews>
  <sheetFormatPr defaultColWidth="11.00390625" defaultRowHeight="15" customHeight="1"/>
  <cols>
    <col min="1" max="1" width="2.7109375" style="21" customWidth="1"/>
    <col min="2" max="2" width="62.421875" style="22" customWidth="1"/>
    <col min="3" max="3" width="13.140625" style="21" customWidth="1"/>
    <col min="4" max="4" width="11.8515625" style="21" customWidth="1"/>
    <col min="5" max="5" width="12.57421875" style="21" customWidth="1"/>
    <col min="6" max="6" width="11.8515625" style="21" customWidth="1"/>
    <col min="7" max="7" width="12.00390625" style="21" customWidth="1"/>
    <col min="8" max="8" width="11.140625" style="21" customWidth="1"/>
    <col min="9" max="10" width="11.7109375" style="21" customWidth="1"/>
    <col min="11" max="11" width="11.421875" style="21" customWidth="1"/>
    <col min="12" max="20" width="10.7109375" style="21" customWidth="1"/>
    <col min="21" max="21" width="63.7109375" style="21" customWidth="1"/>
    <col min="22" max="23" width="10.7109375" style="21" customWidth="1"/>
    <col min="24" max="28" width="11.00390625" style="21" customWidth="1"/>
    <col min="29" max="29" width="12.28125" style="21" bestFit="1" customWidth="1"/>
    <col min="30" max="30" width="12.140625" style="21" customWidth="1"/>
    <col min="31" max="32" width="11.00390625" style="21" customWidth="1"/>
    <col min="33" max="33" width="12.28125" style="21" bestFit="1" customWidth="1"/>
    <col min="34" max="38" width="11.00390625" style="21" customWidth="1"/>
    <col min="39" max="39" width="14.421875" style="21" customWidth="1"/>
    <col min="40" max="16384" width="11.00390625" style="21" customWidth="1"/>
  </cols>
  <sheetData>
    <row r="1" spans="2:38" ht="15" customHeight="1">
      <c r="B1" s="668" t="s">
        <v>24</v>
      </c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22"/>
      <c r="U1" s="668" t="s">
        <v>24</v>
      </c>
      <c r="V1" s="668"/>
      <c r="W1" s="668"/>
      <c r="X1" s="668"/>
      <c r="Y1" s="668"/>
      <c r="Z1" s="668"/>
      <c r="AA1" s="668"/>
      <c r="AB1" s="668"/>
      <c r="AC1" s="668"/>
      <c r="AD1" s="668"/>
      <c r="AE1" s="668"/>
      <c r="AF1" s="668"/>
      <c r="AG1" s="668"/>
      <c r="AH1" s="668"/>
      <c r="AI1" s="668"/>
      <c r="AJ1" s="668"/>
      <c r="AK1" s="22"/>
      <c r="AL1" s="22"/>
    </row>
    <row r="2" spans="2:38" ht="15" customHeight="1">
      <c r="B2" s="668" t="s">
        <v>2</v>
      </c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22"/>
      <c r="U2" s="668" t="s">
        <v>203</v>
      </c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8"/>
      <c r="AG2" s="668"/>
      <c r="AH2" s="668"/>
      <c r="AI2" s="668"/>
      <c r="AJ2" s="668"/>
      <c r="AK2" s="22"/>
      <c r="AL2" s="22"/>
    </row>
    <row r="3" spans="2:38" ht="15" customHeight="1">
      <c r="B3" s="668" t="s">
        <v>1</v>
      </c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22"/>
      <c r="U3" s="668" t="s">
        <v>204</v>
      </c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8"/>
      <c r="AH3" s="668"/>
      <c r="AI3" s="668"/>
      <c r="AJ3" s="668"/>
      <c r="AK3" s="22"/>
      <c r="AL3" s="22"/>
    </row>
    <row r="4" spans="2:38" ht="15" customHeight="1">
      <c r="B4" s="668" t="s">
        <v>3</v>
      </c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22"/>
      <c r="U4" s="668" t="s">
        <v>205</v>
      </c>
      <c r="V4" s="668"/>
      <c r="W4" s="668"/>
      <c r="X4" s="668"/>
      <c r="Y4" s="668"/>
      <c r="Z4" s="668"/>
      <c r="AA4" s="668"/>
      <c r="AB4" s="668"/>
      <c r="AC4" s="668"/>
      <c r="AD4" s="668"/>
      <c r="AE4" s="668"/>
      <c r="AF4" s="668"/>
      <c r="AG4" s="668"/>
      <c r="AH4" s="668"/>
      <c r="AI4" s="668"/>
      <c r="AJ4" s="668"/>
      <c r="AK4" s="22"/>
      <c r="AL4" s="22"/>
    </row>
    <row r="5" spans="2:38" ht="15" customHeight="1">
      <c r="B5" s="668" t="s">
        <v>185</v>
      </c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  <c r="S5" s="668"/>
      <c r="T5" s="22"/>
      <c r="U5" s="668" t="s">
        <v>339</v>
      </c>
      <c r="V5" s="668"/>
      <c r="W5" s="668"/>
      <c r="X5" s="668"/>
      <c r="Y5" s="668"/>
      <c r="Z5" s="668"/>
      <c r="AA5" s="668"/>
      <c r="AB5" s="668"/>
      <c r="AC5" s="668"/>
      <c r="AD5" s="668"/>
      <c r="AE5" s="668"/>
      <c r="AF5" s="668"/>
      <c r="AG5" s="668"/>
      <c r="AH5" s="668"/>
      <c r="AI5" s="668"/>
      <c r="AJ5" s="668"/>
      <c r="AK5" s="22"/>
      <c r="AL5" s="22"/>
    </row>
    <row r="6" spans="2:38" ht="15" customHeight="1">
      <c r="B6" s="668" t="s">
        <v>62</v>
      </c>
      <c r="C6" s="668"/>
      <c r="D6" s="668"/>
      <c r="E6" s="668"/>
      <c r="F6" s="668"/>
      <c r="G6" s="668"/>
      <c r="H6" s="668"/>
      <c r="I6" s="668"/>
      <c r="J6" s="668"/>
      <c r="K6" s="668"/>
      <c r="L6" s="668"/>
      <c r="M6" s="668"/>
      <c r="N6" s="668"/>
      <c r="O6" s="668"/>
      <c r="P6" s="668"/>
      <c r="Q6" s="668"/>
      <c r="R6" s="668"/>
      <c r="S6" s="668"/>
      <c r="T6" s="22"/>
      <c r="U6" s="668" t="s">
        <v>62</v>
      </c>
      <c r="V6" s="668"/>
      <c r="W6" s="668"/>
      <c r="X6" s="668"/>
      <c r="Y6" s="668"/>
      <c r="Z6" s="668"/>
      <c r="AA6" s="668"/>
      <c r="AB6" s="668"/>
      <c r="AC6" s="668"/>
      <c r="AD6" s="668"/>
      <c r="AE6" s="668"/>
      <c r="AF6" s="668"/>
      <c r="AG6" s="668"/>
      <c r="AH6" s="668"/>
      <c r="AI6" s="668"/>
      <c r="AJ6" s="668"/>
      <c r="AK6" s="22"/>
      <c r="AL6" s="22"/>
    </row>
    <row r="7" spans="2:23" ht="15" customHeight="1" thickBot="1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2:39" s="23" customFormat="1" ht="24.75" customHeight="1" thickBot="1">
      <c r="B8" s="294" t="s">
        <v>67</v>
      </c>
      <c r="C8" s="295">
        <v>1996</v>
      </c>
      <c r="D8" s="296">
        <v>1997</v>
      </c>
      <c r="E8" s="296">
        <v>1998</v>
      </c>
      <c r="F8" s="296">
        <v>1999</v>
      </c>
      <c r="G8" s="296">
        <v>2000</v>
      </c>
      <c r="H8" s="296">
        <v>2001</v>
      </c>
      <c r="I8" s="296">
        <v>2002</v>
      </c>
      <c r="J8" s="296">
        <v>2003</v>
      </c>
      <c r="K8" s="297">
        <v>2004</v>
      </c>
      <c r="L8" s="296">
        <v>2005</v>
      </c>
      <c r="M8" s="296">
        <v>2006</v>
      </c>
      <c r="N8" s="296">
        <v>2007</v>
      </c>
      <c r="O8" s="296">
        <v>2008</v>
      </c>
      <c r="P8" s="341">
        <v>2009</v>
      </c>
      <c r="Q8" s="341">
        <v>2010</v>
      </c>
      <c r="R8" s="341" t="s">
        <v>186</v>
      </c>
      <c r="S8" s="298" t="s">
        <v>184</v>
      </c>
      <c r="T8"/>
      <c r="U8" s="294" t="s">
        <v>67</v>
      </c>
      <c r="V8" s="295">
        <v>2007</v>
      </c>
      <c r="W8" s="296">
        <v>2008</v>
      </c>
      <c r="X8" s="296">
        <v>2009</v>
      </c>
      <c r="Y8" s="341">
        <v>2010</v>
      </c>
      <c r="Z8" s="341">
        <v>2011</v>
      </c>
      <c r="AA8" s="341">
        <v>2012</v>
      </c>
      <c r="AB8" s="341">
        <v>2013</v>
      </c>
      <c r="AC8" s="472">
        <v>2014</v>
      </c>
      <c r="AD8" s="341">
        <v>2015</v>
      </c>
      <c r="AE8" s="341">
        <v>2016</v>
      </c>
      <c r="AF8" s="341">
        <v>2017</v>
      </c>
      <c r="AG8" s="472">
        <v>2018</v>
      </c>
      <c r="AH8" s="341" t="s">
        <v>340</v>
      </c>
      <c r="AI8" s="472" t="s">
        <v>332</v>
      </c>
      <c r="AJ8" s="298" t="s">
        <v>338</v>
      </c>
      <c r="AL8"/>
      <c r="AM8"/>
    </row>
    <row r="9" spans="2:39" ht="15" customHeight="1" thickBot="1">
      <c r="B9" s="299" t="s">
        <v>68</v>
      </c>
      <c r="C9" s="28">
        <v>532.6</v>
      </c>
      <c r="D9" s="30">
        <v>539</v>
      </c>
      <c r="E9" s="30">
        <v>549.8</v>
      </c>
      <c r="F9" s="30">
        <v>595.7</v>
      </c>
      <c r="G9" s="30">
        <v>599.9</v>
      </c>
      <c r="H9" s="30">
        <v>588.3</v>
      </c>
      <c r="I9" s="30">
        <v>565.2</v>
      </c>
      <c r="J9" s="30">
        <v>581.1</v>
      </c>
      <c r="K9" s="136">
        <v>592.9</v>
      </c>
      <c r="L9" s="30">
        <v>621.6</v>
      </c>
      <c r="M9" s="30">
        <v>670.6</v>
      </c>
      <c r="N9" s="30">
        <v>688.8</v>
      </c>
      <c r="O9" s="30">
        <v>719.5</v>
      </c>
      <c r="P9" s="30">
        <v>646.5</v>
      </c>
      <c r="Q9" s="30">
        <v>663.3</v>
      </c>
      <c r="R9" s="30">
        <v>708.4</v>
      </c>
      <c r="S9" s="31">
        <v>743.1</v>
      </c>
      <c r="T9"/>
      <c r="U9" s="474" t="s">
        <v>278</v>
      </c>
      <c r="V9" s="476"/>
      <c r="W9" s="477"/>
      <c r="X9" s="477"/>
      <c r="Y9" s="475"/>
      <c r="Z9" s="475"/>
      <c r="AA9" s="475"/>
      <c r="AB9" s="475"/>
      <c r="AC9" s="475"/>
      <c r="AD9" s="475"/>
      <c r="AE9" s="475"/>
      <c r="AF9" s="475"/>
      <c r="AG9" s="484"/>
      <c r="AH9" s="475"/>
      <c r="AI9" s="484"/>
      <c r="AJ9" s="414"/>
      <c r="AL9"/>
      <c r="AM9"/>
    </row>
    <row r="10" spans="2:39" ht="15" customHeight="1">
      <c r="B10" s="300" t="s">
        <v>69</v>
      </c>
      <c r="C10" s="29">
        <v>116.5</v>
      </c>
      <c r="D10" s="32">
        <v>131.7</v>
      </c>
      <c r="E10" s="32">
        <v>165.3</v>
      </c>
      <c r="F10" s="32">
        <v>132.2</v>
      </c>
      <c r="G10" s="32">
        <v>197.8</v>
      </c>
      <c r="H10" s="32">
        <v>261</v>
      </c>
      <c r="I10" s="32">
        <v>312.3</v>
      </c>
      <c r="J10" s="32">
        <v>377.8</v>
      </c>
      <c r="K10" s="101">
        <v>379</v>
      </c>
      <c r="L10" s="32">
        <v>375.4</v>
      </c>
      <c r="M10" s="32">
        <v>368.5</v>
      </c>
      <c r="N10" s="32">
        <v>356.2</v>
      </c>
      <c r="O10" s="32">
        <v>412.1</v>
      </c>
      <c r="P10" s="32">
        <v>397</v>
      </c>
      <c r="Q10" s="32">
        <v>232.3</v>
      </c>
      <c r="R10" s="32">
        <v>181.5</v>
      </c>
      <c r="S10" s="33">
        <v>186</v>
      </c>
      <c r="T10"/>
      <c r="U10" s="389" t="s">
        <v>68</v>
      </c>
      <c r="V10" s="384">
        <v>815</v>
      </c>
      <c r="W10" s="30">
        <v>872</v>
      </c>
      <c r="X10" s="30">
        <v>793.3</v>
      </c>
      <c r="Y10" s="30">
        <v>846.6</v>
      </c>
      <c r="Z10" s="30">
        <v>921.3</v>
      </c>
      <c r="AA10" s="30">
        <v>1042</v>
      </c>
      <c r="AB10" s="30">
        <v>1067.1</v>
      </c>
      <c r="AC10" s="136">
        <v>1074.5</v>
      </c>
      <c r="AD10" s="30">
        <v>1156.730583289583</v>
      </c>
      <c r="AE10" s="30">
        <v>1199.0696274346756</v>
      </c>
      <c r="AF10" s="30">
        <v>1175.3078059010675</v>
      </c>
      <c r="AG10" s="136">
        <v>1215.2330502786224</v>
      </c>
      <c r="AH10" s="30">
        <v>1250.7405285500902</v>
      </c>
      <c r="AI10" s="136">
        <v>1284.4318387581993</v>
      </c>
      <c r="AJ10" s="31">
        <v>1398.363266210671</v>
      </c>
      <c r="AL10"/>
      <c r="AM10"/>
    </row>
    <row r="11" spans="2:39" ht="15" customHeight="1">
      <c r="B11" s="300" t="s">
        <v>70</v>
      </c>
      <c r="C11" s="29">
        <v>31.2</v>
      </c>
      <c r="D11" s="32">
        <v>56.4</v>
      </c>
      <c r="E11" s="32">
        <v>71.1</v>
      </c>
      <c r="F11" s="32">
        <v>88.1</v>
      </c>
      <c r="G11" s="32">
        <v>78.8</v>
      </c>
      <c r="H11" s="32">
        <v>75.6</v>
      </c>
      <c r="I11" s="32">
        <v>89.3</v>
      </c>
      <c r="J11" s="32">
        <v>120.9</v>
      </c>
      <c r="K11" s="101">
        <v>136</v>
      </c>
      <c r="L11" s="32">
        <v>136.1</v>
      </c>
      <c r="M11" s="32">
        <v>159.5</v>
      </c>
      <c r="N11" s="32">
        <v>197.8</v>
      </c>
      <c r="O11" s="32">
        <v>259</v>
      </c>
      <c r="P11" s="32">
        <v>270.8</v>
      </c>
      <c r="Q11" s="32">
        <v>290.7</v>
      </c>
      <c r="R11" s="32">
        <v>353.5</v>
      </c>
      <c r="S11" s="33">
        <v>459.7</v>
      </c>
      <c r="T11"/>
      <c r="U11" s="390" t="s">
        <v>69</v>
      </c>
      <c r="V11" s="385">
        <v>259.6</v>
      </c>
      <c r="W11" s="32">
        <v>286.3</v>
      </c>
      <c r="X11" s="32">
        <v>283.3</v>
      </c>
      <c r="Y11" s="32">
        <v>258.3</v>
      </c>
      <c r="Z11" s="32">
        <v>234.9</v>
      </c>
      <c r="AA11" s="32">
        <v>241.5</v>
      </c>
      <c r="AB11" s="32">
        <v>275.6</v>
      </c>
      <c r="AC11" s="101">
        <v>348.2</v>
      </c>
      <c r="AD11" s="32">
        <v>350.3105896130577</v>
      </c>
      <c r="AE11" s="32">
        <v>306.739539361378</v>
      </c>
      <c r="AF11" s="32">
        <v>308.0692582227962</v>
      </c>
      <c r="AG11" s="101">
        <v>244.68032500318577</v>
      </c>
      <c r="AH11" s="32">
        <v>214.15627192448846</v>
      </c>
      <c r="AI11" s="101">
        <v>210.57461109252114</v>
      </c>
      <c r="AJ11" s="33">
        <v>254.64508828498506</v>
      </c>
      <c r="AL11"/>
      <c r="AM11"/>
    </row>
    <row r="12" spans="2:39" ht="15" customHeight="1">
      <c r="B12" s="300" t="s">
        <v>71</v>
      </c>
      <c r="C12" s="29">
        <v>1105.7</v>
      </c>
      <c r="D12" s="32">
        <v>1141.7</v>
      </c>
      <c r="E12" s="32">
        <v>1167.2</v>
      </c>
      <c r="F12" s="32">
        <v>1179.6</v>
      </c>
      <c r="G12" s="32">
        <v>1095.2</v>
      </c>
      <c r="H12" s="32">
        <v>1026.3</v>
      </c>
      <c r="I12" s="32">
        <v>999.4</v>
      </c>
      <c r="J12" s="32">
        <v>965.4</v>
      </c>
      <c r="K12" s="101">
        <v>985.5</v>
      </c>
      <c r="L12" s="32">
        <v>1026.9</v>
      </c>
      <c r="M12" s="32">
        <v>1066.7</v>
      </c>
      <c r="N12" s="32">
        <v>1126.7</v>
      </c>
      <c r="O12" s="32">
        <v>1170.9</v>
      </c>
      <c r="P12" s="32">
        <v>1163.9</v>
      </c>
      <c r="Q12" s="32">
        <v>1176.7</v>
      </c>
      <c r="R12" s="32">
        <v>1214.7</v>
      </c>
      <c r="S12" s="33">
        <v>1259</v>
      </c>
      <c r="T12"/>
      <c r="U12" s="390" t="s">
        <v>70</v>
      </c>
      <c r="V12" s="385">
        <v>147.9</v>
      </c>
      <c r="W12" s="32">
        <v>198.1</v>
      </c>
      <c r="X12" s="32">
        <v>232.3</v>
      </c>
      <c r="Y12" s="32">
        <v>321.2</v>
      </c>
      <c r="Z12" s="32">
        <v>449.7</v>
      </c>
      <c r="AA12" s="32">
        <v>637.2</v>
      </c>
      <c r="AB12" s="32">
        <v>800.6</v>
      </c>
      <c r="AC12" s="101">
        <v>924.6</v>
      </c>
      <c r="AD12" s="32">
        <v>1084.756888988679</v>
      </c>
      <c r="AE12" s="32">
        <v>1162.2758100401115</v>
      </c>
      <c r="AF12" s="32">
        <v>1219.7556947370854</v>
      </c>
      <c r="AG12" s="101">
        <v>1223.3251941273793</v>
      </c>
      <c r="AH12" s="32">
        <v>1652.8127531202872</v>
      </c>
      <c r="AI12" s="101">
        <v>2023.510586995767</v>
      </c>
      <c r="AJ12" s="33">
        <v>3688.5251979724603</v>
      </c>
      <c r="AL12"/>
      <c r="AM12"/>
    </row>
    <row r="13" spans="2:39" ht="15" customHeight="1">
      <c r="B13" s="300" t="s">
        <v>72</v>
      </c>
      <c r="C13" s="29">
        <v>295.4</v>
      </c>
      <c r="D13" s="32">
        <v>313.6</v>
      </c>
      <c r="E13" s="32">
        <v>305.8</v>
      </c>
      <c r="F13" s="32">
        <v>342.5</v>
      </c>
      <c r="G13" s="32">
        <v>374.5</v>
      </c>
      <c r="H13" s="32">
        <v>357</v>
      </c>
      <c r="I13" s="32">
        <v>381.5</v>
      </c>
      <c r="J13" s="32">
        <v>387</v>
      </c>
      <c r="K13" s="101">
        <v>410.6</v>
      </c>
      <c r="L13" s="32">
        <v>433.4</v>
      </c>
      <c r="M13" s="32">
        <v>447.6</v>
      </c>
      <c r="N13" s="32">
        <v>484.3</v>
      </c>
      <c r="O13" s="32">
        <v>502.9</v>
      </c>
      <c r="P13" s="32">
        <v>540.5</v>
      </c>
      <c r="Q13" s="32">
        <v>575.2</v>
      </c>
      <c r="R13" s="32">
        <v>610.7</v>
      </c>
      <c r="S13" s="33">
        <v>682.1</v>
      </c>
      <c r="T13"/>
      <c r="U13" s="390" t="s">
        <v>71</v>
      </c>
      <c r="V13" s="385">
        <v>1546</v>
      </c>
      <c r="W13" s="32">
        <v>1761.2</v>
      </c>
      <c r="X13" s="32">
        <v>1981.2</v>
      </c>
      <c r="Y13" s="32">
        <v>2078.6</v>
      </c>
      <c r="Z13" s="32">
        <v>2207.2</v>
      </c>
      <c r="AA13" s="32">
        <v>2547.1</v>
      </c>
      <c r="AB13" s="32">
        <v>3023.9</v>
      </c>
      <c r="AC13" s="101">
        <v>3297.7</v>
      </c>
      <c r="AD13" s="32">
        <v>3456.878800688626</v>
      </c>
      <c r="AE13" s="32">
        <v>3575.7850400327143</v>
      </c>
      <c r="AF13" s="32">
        <v>3768.1</v>
      </c>
      <c r="AG13" s="101">
        <v>3816.0545328010157</v>
      </c>
      <c r="AH13" s="32">
        <v>3833.7266854074664</v>
      </c>
      <c r="AI13" s="101">
        <v>3118.098537853221</v>
      </c>
      <c r="AJ13" s="607">
        <v>3440.629155878474</v>
      </c>
      <c r="AL13"/>
      <c r="AM13"/>
    </row>
    <row r="14" spans="2:39" ht="15" customHeight="1">
      <c r="B14" s="300" t="s">
        <v>73</v>
      </c>
      <c r="C14" s="29">
        <v>326.5</v>
      </c>
      <c r="D14" s="32">
        <v>348.5</v>
      </c>
      <c r="E14" s="32">
        <v>389.9</v>
      </c>
      <c r="F14" s="32">
        <v>530.2</v>
      </c>
      <c r="G14" s="32">
        <v>536.9</v>
      </c>
      <c r="H14" s="32">
        <v>394.1</v>
      </c>
      <c r="I14" s="32">
        <v>365.4</v>
      </c>
      <c r="J14" s="32">
        <v>491</v>
      </c>
      <c r="K14" s="101">
        <v>561.6</v>
      </c>
      <c r="L14" s="32">
        <v>566.8</v>
      </c>
      <c r="M14" s="32">
        <v>671.2</v>
      </c>
      <c r="N14" s="32">
        <v>819.3</v>
      </c>
      <c r="O14" s="32">
        <v>1075</v>
      </c>
      <c r="P14" s="32">
        <v>1124.7</v>
      </c>
      <c r="Q14" s="32">
        <v>1205.9</v>
      </c>
      <c r="R14" s="32">
        <v>1437.4</v>
      </c>
      <c r="S14" s="33">
        <v>1859.1</v>
      </c>
      <c r="T14"/>
      <c r="U14" s="390" t="s">
        <v>72</v>
      </c>
      <c r="V14" s="385">
        <v>607.3</v>
      </c>
      <c r="W14" s="32">
        <v>806.7</v>
      </c>
      <c r="X14" s="32">
        <v>666.6</v>
      </c>
      <c r="Y14" s="32">
        <v>706.4</v>
      </c>
      <c r="Z14" s="32">
        <v>939.1</v>
      </c>
      <c r="AA14" s="32">
        <v>895.4</v>
      </c>
      <c r="AB14" s="32">
        <v>989.7</v>
      </c>
      <c r="AC14" s="101">
        <v>863.3</v>
      </c>
      <c r="AD14" s="32">
        <v>854.3267605291148</v>
      </c>
      <c r="AE14" s="32">
        <v>980.7893507134306</v>
      </c>
      <c r="AF14" s="32">
        <v>1073.544402168638</v>
      </c>
      <c r="AG14" s="101">
        <v>1120.8262074310953</v>
      </c>
      <c r="AH14" s="32">
        <v>1221.3980392476838</v>
      </c>
      <c r="AI14" s="101">
        <v>1176.6099058002108</v>
      </c>
      <c r="AJ14" s="33">
        <v>1286.4</v>
      </c>
      <c r="AL14"/>
      <c r="AM14"/>
    </row>
    <row r="15" spans="2:39" ht="15" customHeight="1">
      <c r="B15" s="300" t="s">
        <v>141</v>
      </c>
      <c r="C15" s="29"/>
      <c r="D15" s="32"/>
      <c r="E15" s="32"/>
      <c r="F15" s="32"/>
      <c r="G15" s="32"/>
      <c r="H15" s="32"/>
      <c r="I15" s="32"/>
      <c r="J15" s="32"/>
      <c r="K15" s="101"/>
      <c r="L15" s="32"/>
      <c r="M15" s="32"/>
      <c r="N15" s="32"/>
      <c r="O15" s="32"/>
      <c r="P15" s="32"/>
      <c r="Q15" s="32"/>
      <c r="R15" s="32"/>
      <c r="S15" s="33"/>
      <c r="T15"/>
      <c r="U15" s="390" t="s">
        <v>73</v>
      </c>
      <c r="V15" s="385">
        <v>1401.2</v>
      </c>
      <c r="W15" s="32">
        <v>2072.4</v>
      </c>
      <c r="X15" s="32">
        <v>2252.9</v>
      </c>
      <c r="Y15" s="32">
        <v>2411.2</v>
      </c>
      <c r="Z15" s="32">
        <v>3058.4</v>
      </c>
      <c r="AA15" s="32">
        <v>4253.5</v>
      </c>
      <c r="AB15" s="32">
        <v>6157.1</v>
      </c>
      <c r="AC15" s="101">
        <v>7566.3</v>
      </c>
      <c r="AD15" s="32">
        <v>8692.753147938962</v>
      </c>
      <c r="AE15" s="32">
        <v>9813.816131040428</v>
      </c>
      <c r="AF15" s="32">
        <v>11139.8</v>
      </c>
      <c r="AG15" s="101">
        <v>11859.550416195581</v>
      </c>
      <c r="AH15" s="32">
        <v>12014.805588098134</v>
      </c>
      <c r="AI15" s="101">
        <v>6036.089926994169</v>
      </c>
      <c r="AJ15" s="33">
        <v>8420.1</v>
      </c>
      <c r="AL15"/>
      <c r="AM15"/>
    </row>
    <row r="16" spans="2:39" ht="15" customHeight="1">
      <c r="B16" s="300" t="s">
        <v>142</v>
      </c>
      <c r="C16" s="29"/>
      <c r="D16" s="32"/>
      <c r="E16" s="32"/>
      <c r="F16" s="32"/>
      <c r="G16" s="32"/>
      <c r="H16" s="32"/>
      <c r="I16" s="32"/>
      <c r="J16" s="32"/>
      <c r="K16" s="101"/>
      <c r="L16" s="32"/>
      <c r="M16" s="32"/>
      <c r="N16" s="32"/>
      <c r="O16" s="32"/>
      <c r="P16" s="32"/>
      <c r="Q16" s="32"/>
      <c r="R16" s="32"/>
      <c r="S16" s="33"/>
      <c r="T16"/>
      <c r="U16" s="390" t="s">
        <v>141</v>
      </c>
      <c r="V16" s="385"/>
      <c r="W16" s="32"/>
      <c r="X16" s="32"/>
      <c r="Y16" s="32"/>
      <c r="Z16" s="32"/>
      <c r="AA16" s="32"/>
      <c r="AB16" s="32"/>
      <c r="AC16" s="101"/>
      <c r="AD16" s="32"/>
      <c r="AE16" s="32"/>
      <c r="AF16" s="32"/>
      <c r="AG16" s="101"/>
      <c r="AH16" s="32"/>
      <c r="AI16" s="101"/>
      <c r="AJ16" s="33"/>
      <c r="AL16"/>
      <c r="AM16"/>
    </row>
    <row r="17" spans="2:39" ht="15" customHeight="1">
      <c r="B17" s="300" t="s">
        <v>143</v>
      </c>
      <c r="C17" s="29">
        <v>1405.1</v>
      </c>
      <c r="D17" s="32">
        <v>1577.5</v>
      </c>
      <c r="E17" s="32">
        <v>1684.4</v>
      </c>
      <c r="F17" s="32">
        <v>1586.7</v>
      </c>
      <c r="G17" s="32">
        <v>1658.1</v>
      </c>
      <c r="H17" s="32">
        <v>1703.5</v>
      </c>
      <c r="I17" s="32">
        <v>1668.1</v>
      </c>
      <c r="J17" s="32">
        <v>1686.8</v>
      </c>
      <c r="K17" s="101">
        <v>1881.9</v>
      </c>
      <c r="L17" s="32">
        <v>2047.4</v>
      </c>
      <c r="M17" s="32">
        <v>2274</v>
      </c>
      <c r="N17" s="32">
        <v>2517.7</v>
      </c>
      <c r="O17" s="32">
        <v>2695.2</v>
      </c>
      <c r="P17" s="32">
        <v>2737.5</v>
      </c>
      <c r="Q17" s="32">
        <v>3009.5</v>
      </c>
      <c r="R17" s="32">
        <v>3443.7</v>
      </c>
      <c r="S17" s="33">
        <v>3731.9</v>
      </c>
      <c r="T17"/>
      <c r="U17" s="390" t="s">
        <v>142</v>
      </c>
      <c r="V17" s="385"/>
      <c r="W17" s="32"/>
      <c r="X17" s="32"/>
      <c r="Y17" s="32"/>
      <c r="Z17" s="32"/>
      <c r="AA17" s="32"/>
      <c r="AB17" s="32"/>
      <c r="AC17" s="101"/>
      <c r="AD17" s="32"/>
      <c r="AE17" s="32"/>
      <c r="AF17" s="32"/>
      <c r="AG17" s="101"/>
      <c r="AH17" s="32"/>
      <c r="AI17" s="101"/>
      <c r="AJ17" s="33"/>
      <c r="AL17"/>
      <c r="AM17"/>
    </row>
    <row r="18" spans="2:39" ht="15" customHeight="1">
      <c r="B18" s="300" t="s">
        <v>74</v>
      </c>
      <c r="C18" s="29">
        <v>180.2</v>
      </c>
      <c r="D18" s="32">
        <v>199.6</v>
      </c>
      <c r="E18" s="32">
        <v>213.5</v>
      </c>
      <c r="F18" s="32">
        <v>236.4</v>
      </c>
      <c r="G18" s="32">
        <v>234.5</v>
      </c>
      <c r="H18" s="32">
        <v>259.2</v>
      </c>
      <c r="I18" s="32">
        <v>277.4</v>
      </c>
      <c r="J18" s="32">
        <v>306.2</v>
      </c>
      <c r="K18" s="101">
        <v>347.6</v>
      </c>
      <c r="L18" s="32">
        <v>386.1</v>
      </c>
      <c r="M18" s="32">
        <v>433.2</v>
      </c>
      <c r="N18" s="32">
        <v>494.9</v>
      </c>
      <c r="O18" s="32">
        <v>535.9</v>
      </c>
      <c r="P18" s="32">
        <v>549.7</v>
      </c>
      <c r="Q18" s="32">
        <v>607</v>
      </c>
      <c r="R18" s="32">
        <v>664</v>
      </c>
      <c r="S18" s="33">
        <v>734.1</v>
      </c>
      <c r="T18"/>
      <c r="U18" s="390" t="s">
        <v>143</v>
      </c>
      <c r="V18" s="385">
        <v>3778.8</v>
      </c>
      <c r="W18" s="32">
        <v>4582.6</v>
      </c>
      <c r="X18" s="32">
        <v>5197.8</v>
      </c>
      <c r="Y18" s="32">
        <v>5802.9</v>
      </c>
      <c r="Z18" s="32">
        <v>7814</v>
      </c>
      <c r="AA18" s="32">
        <v>9574.3</v>
      </c>
      <c r="AB18" s="32">
        <v>9714.4</v>
      </c>
      <c r="AC18" s="101">
        <v>10235.6</v>
      </c>
      <c r="AD18" s="32">
        <v>10556.9241323061</v>
      </c>
      <c r="AE18" s="32">
        <v>10995.979708824654</v>
      </c>
      <c r="AF18" s="32">
        <v>11473.8</v>
      </c>
      <c r="AG18" s="101">
        <v>12090.17771284982</v>
      </c>
      <c r="AH18" s="32">
        <v>12287.079528426822</v>
      </c>
      <c r="AI18" s="101">
        <v>9834.860132990776</v>
      </c>
      <c r="AJ18" s="33">
        <v>11554.202443999999</v>
      </c>
      <c r="AL18"/>
      <c r="AM18"/>
    </row>
    <row r="19" spans="2:39" ht="15" customHeight="1">
      <c r="B19" s="300" t="s">
        <v>75</v>
      </c>
      <c r="C19" s="29">
        <v>1138.6</v>
      </c>
      <c r="D19" s="32">
        <v>1252.7</v>
      </c>
      <c r="E19" s="32">
        <v>1435.9</v>
      </c>
      <c r="F19" s="32">
        <v>1531.6</v>
      </c>
      <c r="G19" s="32">
        <v>1723.8</v>
      </c>
      <c r="H19" s="32">
        <v>1767.5</v>
      </c>
      <c r="I19" s="32">
        <v>1803.2</v>
      </c>
      <c r="J19" s="32">
        <v>1999</v>
      </c>
      <c r="K19" s="101">
        <v>2296.3</v>
      </c>
      <c r="L19" s="32">
        <v>2567.9</v>
      </c>
      <c r="M19" s="32">
        <v>2920.9</v>
      </c>
      <c r="N19" s="32">
        <v>3417.5</v>
      </c>
      <c r="O19" s="32">
        <v>3945.8</v>
      </c>
      <c r="P19" s="32">
        <v>4269</v>
      </c>
      <c r="Q19" s="32">
        <v>4890.1</v>
      </c>
      <c r="R19" s="32">
        <v>5578.8</v>
      </c>
      <c r="S19" s="33">
        <v>6201.2</v>
      </c>
      <c r="T19"/>
      <c r="U19" s="390" t="s">
        <v>74</v>
      </c>
      <c r="V19" s="385">
        <v>616.2</v>
      </c>
      <c r="W19" s="32">
        <v>733.9</v>
      </c>
      <c r="X19" s="32">
        <v>836.4</v>
      </c>
      <c r="Y19" s="32">
        <v>985.1</v>
      </c>
      <c r="Z19" s="32">
        <v>1224</v>
      </c>
      <c r="AA19" s="32">
        <v>1543.3</v>
      </c>
      <c r="AB19" s="32">
        <v>1610.2</v>
      </c>
      <c r="AC19" s="101">
        <v>1831.1</v>
      </c>
      <c r="AD19" s="32">
        <v>2161.2263147095327</v>
      </c>
      <c r="AE19" s="32">
        <v>2375.9018250177146</v>
      </c>
      <c r="AF19" s="32">
        <v>2460</v>
      </c>
      <c r="AG19" s="483">
        <v>2466.435428176682</v>
      </c>
      <c r="AH19" s="32">
        <v>2445.036113348645</v>
      </c>
      <c r="AI19" s="101">
        <v>1128.4328896482211</v>
      </c>
      <c r="AJ19" s="33">
        <v>1151.944659</v>
      </c>
      <c r="AL19"/>
      <c r="AM19"/>
    </row>
    <row r="20" spans="2:39" ht="15" customHeight="1">
      <c r="B20" s="300" t="s">
        <v>76</v>
      </c>
      <c r="C20" s="29">
        <v>817.5</v>
      </c>
      <c r="D20" s="32">
        <v>864.8</v>
      </c>
      <c r="E20" s="32">
        <v>972.7</v>
      </c>
      <c r="F20" s="32">
        <v>1024.2</v>
      </c>
      <c r="G20" s="32">
        <v>1123.3</v>
      </c>
      <c r="H20" s="32">
        <v>1090.4</v>
      </c>
      <c r="I20" s="32">
        <v>1011.9</v>
      </c>
      <c r="J20" s="32">
        <v>939.4</v>
      </c>
      <c r="K20" s="101">
        <v>887</v>
      </c>
      <c r="L20" s="32">
        <v>1032.4</v>
      </c>
      <c r="M20" s="32">
        <v>1187.1</v>
      </c>
      <c r="N20" s="32">
        <v>1414.7</v>
      </c>
      <c r="O20" s="32">
        <v>1614.6</v>
      </c>
      <c r="P20" s="32">
        <v>1661.4</v>
      </c>
      <c r="Q20" s="32">
        <v>1754.6</v>
      </c>
      <c r="R20" s="32">
        <v>1886.5</v>
      </c>
      <c r="S20" s="33">
        <v>2079.7</v>
      </c>
      <c r="T20"/>
      <c r="U20" s="390" t="s">
        <v>75</v>
      </c>
      <c r="V20" s="385">
        <v>3553.5</v>
      </c>
      <c r="W20" s="32">
        <v>4014.8</v>
      </c>
      <c r="X20" s="32">
        <v>4199.4</v>
      </c>
      <c r="Y20" s="32">
        <v>4376.8</v>
      </c>
      <c r="Z20" s="32">
        <v>5146</v>
      </c>
      <c r="AA20" s="32">
        <v>5581.8</v>
      </c>
      <c r="AB20" s="32">
        <v>5649.1</v>
      </c>
      <c r="AC20" s="101">
        <v>5887.4</v>
      </c>
      <c r="AD20" s="32">
        <v>6389.886648137391</v>
      </c>
      <c r="AE20" s="32">
        <v>6517.669819821629</v>
      </c>
      <c r="AF20" s="32">
        <v>7061.9</v>
      </c>
      <c r="AG20" s="101">
        <v>7394.306908849254</v>
      </c>
      <c r="AH20" s="32">
        <v>7905.031782818847</v>
      </c>
      <c r="AI20" s="101">
        <v>7068.784803261402</v>
      </c>
      <c r="AJ20" s="33">
        <v>8004.669382256612</v>
      </c>
      <c r="AL20"/>
      <c r="AM20"/>
    </row>
    <row r="21" spans="2:39" ht="15" customHeight="1">
      <c r="B21" s="300" t="s">
        <v>120</v>
      </c>
      <c r="C21" s="29">
        <v>1465.4</v>
      </c>
      <c r="D21" s="32">
        <v>1537.2</v>
      </c>
      <c r="E21" s="32">
        <v>1617</v>
      </c>
      <c r="F21" s="32">
        <v>1715.1</v>
      </c>
      <c r="G21" s="32">
        <v>1776.6</v>
      </c>
      <c r="H21" s="32">
        <v>690.5</v>
      </c>
      <c r="I21" s="32">
        <v>717.5</v>
      </c>
      <c r="J21" s="32">
        <v>753.9</v>
      </c>
      <c r="K21" s="101">
        <v>834.9</v>
      </c>
      <c r="L21" s="32">
        <v>899</v>
      </c>
      <c r="M21" s="32">
        <v>947.4</v>
      </c>
      <c r="N21" s="32">
        <v>1039.8</v>
      </c>
      <c r="O21" s="32">
        <v>1076.7</v>
      </c>
      <c r="P21" s="32">
        <v>1050.8</v>
      </c>
      <c r="Q21" s="32">
        <v>1108.4</v>
      </c>
      <c r="R21" s="32">
        <v>1208.8</v>
      </c>
      <c r="S21" s="33">
        <v>1303</v>
      </c>
      <c r="T21"/>
      <c r="U21" s="390" t="s">
        <v>76</v>
      </c>
      <c r="V21" s="385">
        <v>1615.7</v>
      </c>
      <c r="W21" s="32">
        <v>1866.1</v>
      </c>
      <c r="X21" s="32">
        <v>2234.9</v>
      </c>
      <c r="Y21" s="32">
        <v>2271.6</v>
      </c>
      <c r="Z21" s="32">
        <v>2479.3</v>
      </c>
      <c r="AA21" s="32">
        <v>2865.1</v>
      </c>
      <c r="AB21" s="32">
        <v>2915</v>
      </c>
      <c r="AC21" s="101">
        <v>3150.4</v>
      </c>
      <c r="AD21" s="32">
        <v>3409.877355752931</v>
      </c>
      <c r="AE21" s="32">
        <v>3642.004262036888</v>
      </c>
      <c r="AF21" s="32">
        <v>3970.9699746444994</v>
      </c>
      <c r="AG21" s="101">
        <v>4044.2739964977527</v>
      </c>
      <c r="AH21" s="32">
        <v>4087.231926675656</v>
      </c>
      <c r="AI21" s="101">
        <v>3892.3249449671075</v>
      </c>
      <c r="AJ21" s="33">
        <v>4109.894</v>
      </c>
      <c r="AL21"/>
      <c r="AM21"/>
    </row>
    <row r="22" spans="2:39" ht="15" customHeight="1">
      <c r="B22" s="300" t="s">
        <v>47</v>
      </c>
      <c r="C22" s="29">
        <v>75</v>
      </c>
      <c r="D22" s="32">
        <v>75.6</v>
      </c>
      <c r="E22" s="32">
        <v>76.3</v>
      </c>
      <c r="F22" s="32">
        <v>77.1</v>
      </c>
      <c r="G22" s="32">
        <v>79.9</v>
      </c>
      <c r="H22" s="32">
        <v>82.4</v>
      </c>
      <c r="I22" s="32">
        <v>84.8</v>
      </c>
      <c r="J22" s="32">
        <v>88.7</v>
      </c>
      <c r="K22" s="101">
        <v>92.8</v>
      </c>
      <c r="L22" s="32">
        <v>96.9</v>
      </c>
      <c r="M22" s="32">
        <v>105.9</v>
      </c>
      <c r="N22" s="32">
        <v>113.4</v>
      </c>
      <c r="O22" s="32">
        <v>121.8</v>
      </c>
      <c r="P22" s="32">
        <v>135.6</v>
      </c>
      <c r="Q22" s="32">
        <v>143.5</v>
      </c>
      <c r="R22" s="32">
        <v>150.3</v>
      </c>
      <c r="S22" s="33">
        <v>156.8</v>
      </c>
      <c r="T22"/>
      <c r="U22" s="390" t="s">
        <v>120</v>
      </c>
      <c r="V22" s="385">
        <v>1586.9</v>
      </c>
      <c r="W22" s="32">
        <v>1848.7</v>
      </c>
      <c r="X22" s="32">
        <v>2010.3</v>
      </c>
      <c r="Y22" s="32">
        <v>2361.2</v>
      </c>
      <c r="Z22" s="32">
        <v>2701.4</v>
      </c>
      <c r="AA22" s="32">
        <v>3095.2</v>
      </c>
      <c r="AB22" s="32">
        <v>3440.2</v>
      </c>
      <c r="AC22" s="101">
        <v>3792</v>
      </c>
      <c r="AD22" s="32">
        <v>4075.8301660249035</v>
      </c>
      <c r="AE22" s="32">
        <v>4240.805256769509</v>
      </c>
      <c r="AF22" s="32">
        <v>4373.4</v>
      </c>
      <c r="AG22" s="101">
        <v>4499.571145989354</v>
      </c>
      <c r="AH22" s="32">
        <v>4558.131184452344</v>
      </c>
      <c r="AI22" s="101">
        <v>3346.642014140379</v>
      </c>
      <c r="AJ22" s="33">
        <v>3789.12899</v>
      </c>
      <c r="AL22"/>
      <c r="AM22"/>
    </row>
    <row r="23" spans="2:39" ht="15" customHeight="1">
      <c r="B23" s="300" t="s">
        <v>144</v>
      </c>
      <c r="C23" s="29">
        <v>88.8</v>
      </c>
      <c r="D23" s="32">
        <v>109.6</v>
      </c>
      <c r="E23" s="32">
        <v>115.9</v>
      </c>
      <c r="F23" s="32">
        <v>135.7</v>
      </c>
      <c r="G23" s="32">
        <v>133</v>
      </c>
      <c r="H23" s="32">
        <v>111.9</v>
      </c>
      <c r="I23" s="32">
        <v>118.7</v>
      </c>
      <c r="J23" s="32">
        <v>122.9</v>
      </c>
      <c r="K23" s="101">
        <v>129.5</v>
      </c>
      <c r="L23" s="32">
        <v>134.3</v>
      </c>
      <c r="M23" s="32">
        <v>137.8</v>
      </c>
      <c r="N23" s="32">
        <v>155.6</v>
      </c>
      <c r="O23" s="32">
        <v>163.9</v>
      </c>
      <c r="P23" s="32">
        <v>171.9</v>
      </c>
      <c r="Q23" s="32">
        <v>188.6</v>
      </c>
      <c r="R23" s="32">
        <v>196.6</v>
      </c>
      <c r="S23" s="33">
        <v>208.1</v>
      </c>
      <c r="T23"/>
      <c r="U23" s="390" t="s">
        <v>47</v>
      </c>
      <c r="V23" s="385">
        <v>207</v>
      </c>
      <c r="W23" s="32">
        <v>222.9</v>
      </c>
      <c r="X23" s="32">
        <v>263.2</v>
      </c>
      <c r="Y23" s="32">
        <v>301.8</v>
      </c>
      <c r="Z23" s="32">
        <v>314.9</v>
      </c>
      <c r="AA23" s="32">
        <v>363.5</v>
      </c>
      <c r="AB23" s="32">
        <v>388.5</v>
      </c>
      <c r="AC23" s="101">
        <v>428.2</v>
      </c>
      <c r="AD23" s="32">
        <v>470.0690302745716</v>
      </c>
      <c r="AE23" s="32">
        <v>536.9831408437633</v>
      </c>
      <c r="AF23" s="32">
        <v>580.8889528244351</v>
      </c>
      <c r="AG23" s="101">
        <v>647.8989412995485</v>
      </c>
      <c r="AH23" s="32">
        <v>675.4908219427386</v>
      </c>
      <c r="AI23" s="101">
        <v>528.2633565668575</v>
      </c>
      <c r="AJ23" s="33">
        <v>513.7885200000001</v>
      </c>
      <c r="AL23"/>
      <c r="AM23"/>
    </row>
    <row r="24" spans="2:39" ht="15" customHeight="1">
      <c r="B24" s="300" t="s">
        <v>121</v>
      </c>
      <c r="C24" s="29">
        <v>280.2</v>
      </c>
      <c r="D24" s="32">
        <v>311.7</v>
      </c>
      <c r="E24" s="32">
        <v>344.7</v>
      </c>
      <c r="F24" s="32">
        <v>379.5</v>
      </c>
      <c r="G24" s="32">
        <v>350.3</v>
      </c>
      <c r="H24" s="32">
        <v>368.9</v>
      </c>
      <c r="I24" s="32">
        <v>388.4</v>
      </c>
      <c r="J24" s="32">
        <v>394.8</v>
      </c>
      <c r="K24" s="101">
        <v>410.3</v>
      </c>
      <c r="L24" s="32">
        <v>426.8</v>
      </c>
      <c r="M24" s="32">
        <v>448.4</v>
      </c>
      <c r="N24" s="32">
        <v>513.1</v>
      </c>
      <c r="O24" s="32">
        <v>548.3</v>
      </c>
      <c r="P24" s="32">
        <v>575.5</v>
      </c>
      <c r="Q24" s="32">
        <v>609.1</v>
      </c>
      <c r="R24" s="32">
        <v>663.1</v>
      </c>
      <c r="S24" s="33">
        <v>733.4</v>
      </c>
      <c r="T24"/>
      <c r="U24" s="390" t="s">
        <v>144</v>
      </c>
      <c r="V24" s="385">
        <v>278.8</v>
      </c>
      <c r="W24" s="32">
        <v>280.9</v>
      </c>
      <c r="X24" s="32">
        <v>304.2</v>
      </c>
      <c r="Y24" s="32">
        <v>344.8</v>
      </c>
      <c r="Z24" s="32">
        <v>356.3</v>
      </c>
      <c r="AA24" s="32">
        <v>386</v>
      </c>
      <c r="AB24" s="32">
        <v>436.6</v>
      </c>
      <c r="AC24" s="101">
        <v>478.7</v>
      </c>
      <c r="AD24" s="32">
        <v>542.830701691717</v>
      </c>
      <c r="AE24" s="32">
        <v>576.2010767831646</v>
      </c>
      <c r="AF24" s="32">
        <v>614.9660808991498</v>
      </c>
      <c r="AG24" s="101">
        <v>670.3077783787035</v>
      </c>
      <c r="AH24" s="32">
        <v>709.5097613523558</v>
      </c>
      <c r="AI24" s="101">
        <v>775.3065356444995</v>
      </c>
      <c r="AJ24" s="33">
        <v>803.2189999999999</v>
      </c>
      <c r="AL24"/>
      <c r="AM24"/>
    </row>
    <row r="25" spans="2:39" ht="15" customHeight="1">
      <c r="B25" s="300" t="s">
        <v>4</v>
      </c>
      <c r="C25" s="29">
        <v>268.7</v>
      </c>
      <c r="D25" s="32">
        <v>280.9</v>
      </c>
      <c r="E25" s="32">
        <v>312.8</v>
      </c>
      <c r="F25" s="32">
        <v>373.9</v>
      </c>
      <c r="G25" s="32">
        <v>416.4</v>
      </c>
      <c r="H25" s="32">
        <v>369</v>
      </c>
      <c r="I25" s="32">
        <v>288.2</v>
      </c>
      <c r="J25" s="32">
        <v>300.2</v>
      </c>
      <c r="K25" s="101">
        <v>262.5</v>
      </c>
      <c r="L25" s="32">
        <v>289</v>
      </c>
      <c r="M25" s="32">
        <v>374.3</v>
      </c>
      <c r="N25" s="32">
        <v>379.8</v>
      </c>
      <c r="O25" s="32">
        <v>403.9</v>
      </c>
      <c r="P25" s="32">
        <v>430.5</v>
      </c>
      <c r="Q25" s="32">
        <v>446.7</v>
      </c>
      <c r="R25" s="32">
        <v>470.3</v>
      </c>
      <c r="S25" s="33">
        <v>502.7</v>
      </c>
      <c r="T25"/>
      <c r="U25" s="390" t="s">
        <v>121</v>
      </c>
      <c r="V25" s="385">
        <v>458.8</v>
      </c>
      <c r="W25" s="32">
        <v>457.3</v>
      </c>
      <c r="X25" s="32">
        <v>488.9</v>
      </c>
      <c r="Y25" s="32">
        <v>513.4</v>
      </c>
      <c r="Z25" s="32">
        <v>555.9</v>
      </c>
      <c r="AA25" s="32">
        <v>587.3</v>
      </c>
      <c r="AB25" s="32">
        <v>633.8</v>
      </c>
      <c r="AC25" s="101">
        <v>678.1</v>
      </c>
      <c r="AD25" s="32">
        <v>717.8065808883317</v>
      </c>
      <c r="AE25" s="32">
        <v>748.8311467800619</v>
      </c>
      <c r="AF25" s="32">
        <v>757.5558202683762</v>
      </c>
      <c r="AG25" s="101">
        <v>772.9307699610216</v>
      </c>
      <c r="AH25" s="32">
        <v>765.0462946847732</v>
      </c>
      <c r="AI25" s="101">
        <v>418.0010308979643</v>
      </c>
      <c r="AJ25" s="33">
        <v>640.379863</v>
      </c>
      <c r="AL25" s="506"/>
      <c r="AM25"/>
    </row>
    <row r="26" spans="2:39" ht="15" customHeight="1">
      <c r="B26" s="300"/>
      <c r="C26" s="29"/>
      <c r="D26" s="32"/>
      <c r="E26" s="32"/>
      <c r="F26" s="32"/>
      <c r="G26" s="32"/>
      <c r="H26" s="32"/>
      <c r="I26" s="32"/>
      <c r="J26" s="32"/>
      <c r="K26" s="101"/>
      <c r="L26" s="32"/>
      <c r="M26" s="32"/>
      <c r="N26" s="32"/>
      <c r="O26" s="32"/>
      <c r="P26" s="32"/>
      <c r="Q26" s="32"/>
      <c r="R26" s="32"/>
      <c r="S26" s="33"/>
      <c r="T26"/>
      <c r="U26" s="390" t="s">
        <v>4</v>
      </c>
      <c r="V26" s="385">
        <v>501.7</v>
      </c>
      <c r="W26" s="32">
        <v>562.8</v>
      </c>
      <c r="X26" s="32">
        <v>697.7</v>
      </c>
      <c r="Y26" s="32">
        <v>720.6</v>
      </c>
      <c r="Z26" s="32">
        <v>797.7</v>
      </c>
      <c r="AA26" s="32">
        <v>955.4</v>
      </c>
      <c r="AB26" s="32"/>
      <c r="AC26" s="101"/>
      <c r="AD26" s="32"/>
      <c r="AE26" s="32"/>
      <c r="AF26" s="32"/>
      <c r="AG26" s="101"/>
      <c r="AH26" s="32"/>
      <c r="AI26" s="101"/>
      <c r="AJ26" s="33"/>
      <c r="AL26" s="506"/>
      <c r="AM26" s="608"/>
    </row>
    <row r="27" spans="1:39" s="8" customFormat="1" ht="15" customHeight="1">
      <c r="A27" s="8" t="s">
        <v>146</v>
      </c>
      <c r="B27" s="301" t="s">
        <v>147</v>
      </c>
      <c r="C27" s="105">
        <f aca="true" t="shared" si="0" ref="C27:I27">SUM(C9:C24)-C25</f>
        <v>7589.999999999999</v>
      </c>
      <c r="D27" s="19">
        <f t="shared" si="0"/>
        <v>8178.700000000001</v>
      </c>
      <c r="E27" s="19">
        <f t="shared" si="0"/>
        <v>8796.699999999999</v>
      </c>
      <c r="F27" s="19">
        <f t="shared" si="0"/>
        <v>9180.7</v>
      </c>
      <c r="G27" s="19">
        <f t="shared" si="0"/>
        <v>9546.199999999999</v>
      </c>
      <c r="H27" s="19">
        <f t="shared" si="0"/>
        <v>8407.599999999999</v>
      </c>
      <c r="I27" s="19">
        <f t="shared" si="0"/>
        <v>8494.899999999998</v>
      </c>
      <c r="J27" s="19">
        <f aca="true" t="shared" si="1" ref="J27:O27">SUM(J9:J24)-J25</f>
        <v>8914.699999999999</v>
      </c>
      <c r="K27" s="210">
        <f t="shared" si="1"/>
        <v>9683.4</v>
      </c>
      <c r="L27" s="19">
        <f t="shared" si="1"/>
        <v>10461.999999999998</v>
      </c>
      <c r="M27" s="19">
        <f t="shared" si="1"/>
        <v>11464.5</v>
      </c>
      <c r="N27" s="19">
        <f t="shared" si="1"/>
        <v>12960.000000000002</v>
      </c>
      <c r="O27" s="19">
        <f t="shared" si="1"/>
        <v>14437.699999999999</v>
      </c>
      <c r="P27" s="19">
        <f>SUM(P9:P24)-P25</f>
        <v>14864.299999999997</v>
      </c>
      <c r="Q27" s="19">
        <f>SUM(Q9:Q24)-Q25</f>
        <v>16008.2</v>
      </c>
      <c r="R27" s="19">
        <f>SUM(R9:R24)-R25</f>
        <v>17827.699999999997</v>
      </c>
      <c r="S27" s="20">
        <f>SUM(S9:S24)-S25</f>
        <v>19834.5</v>
      </c>
      <c r="T27"/>
      <c r="U27" s="391"/>
      <c r="V27" s="386"/>
      <c r="W27" s="19"/>
      <c r="X27" s="19"/>
      <c r="Y27" s="19"/>
      <c r="Z27" s="19"/>
      <c r="AA27" s="19"/>
      <c r="AB27" s="19"/>
      <c r="AC27" s="210"/>
      <c r="AD27" s="19"/>
      <c r="AE27" s="19"/>
      <c r="AF27" s="19"/>
      <c r="AG27" s="210"/>
      <c r="AH27" s="19"/>
      <c r="AI27" s="210"/>
      <c r="AJ27" s="20"/>
      <c r="AL27" s="506"/>
      <c r="AM27"/>
    </row>
    <row r="28" spans="2:38" s="8" customFormat="1" ht="15" customHeight="1">
      <c r="B28" s="301"/>
      <c r="C28" s="105"/>
      <c r="D28" s="19"/>
      <c r="E28" s="19"/>
      <c r="F28" s="19"/>
      <c r="G28" s="19"/>
      <c r="H28" s="19"/>
      <c r="I28" s="19"/>
      <c r="J28" s="19"/>
      <c r="K28" s="210"/>
      <c r="L28" s="19"/>
      <c r="M28" s="19"/>
      <c r="N28" s="19"/>
      <c r="O28" s="19"/>
      <c r="P28" s="19"/>
      <c r="Q28" s="19"/>
      <c r="R28" s="19"/>
      <c r="S28" s="20"/>
      <c r="T28"/>
      <c r="U28" s="478" t="s">
        <v>279</v>
      </c>
      <c r="V28" s="386"/>
      <c r="W28" s="19"/>
      <c r="X28" s="19"/>
      <c r="Y28" s="19"/>
      <c r="Z28" s="19"/>
      <c r="AA28" s="19"/>
      <c r="AB28" s="19"/>
      <c r="AC28" s="210"/>
      <c r="AD28" s="19"/>
      <c r="AE28" s="19"/>
      <c r="AF28" s="19"/>
      <c r="AG28" s="210"/>
      <c r="AH28" s="19"/>
      <c r="AI28" s="210"/>
      <c r="AJ28" s="20"/>
      <c r="AL28" s="24"/>
    </row>
    <row r="29" spans="2:38" ht="15" customHeight="1">
      <c r="B29" s="300" t="s">
        <v>73</v>
      </c>
      <c r="C29" s="34"/>
      <c r="D29" s="35"/>
      <c r="E29" s="35"/>
      <c r="F29" s="35"/>
      <c r="G29" s="35"/>
      <c r="H29" s="35">
        <v>25.8</v>
      </c>
      <c r="I29" s="35">
        <v>24.6</v>
      </c>
      <c r="J29" s="35">
        <v>25.7</v>
      </c>
      <c r="K29" s="211">
        <v>27</v>
      </c>
      <c r="L29" s="35">
        <v>27.8</v>
      </c>
      <c r="M29" s="35">
        <v>32.8</v>
      </c>
      <c r="N29" s="35">
        <v>37.9</v>
      </c>
      <c r="O29" s="35">
        <v>45.3</v>
      </c>
      <c r="P29" s="35">
        <v>45.7</v>
      </c>
      <c r="Q29" s="35">
        <v>46.4</v>
      </c>
      <c r="R29" s="35">
        <v>51.7</v>
      </c>
      <c r="S29" s="43">
        <v>63</v>
      </c>
      <c r="T29"/>
      <c r="U29" s="390" t="s">
        <v>73</v>
      </c>
      <c r="V29" s="387">
        <v>162.5</v>
      </c>
      <c r="W29" s="35">
        <v>207.4</v>
      </c>
      <c r="X29" s="35">
        <v>227.7</v>
      </c>
      <c r="Y29" s="35">
        <v>244.8</v>
      </c>
      <c r="Z29" s="35">
        <v>296.9</v>
      </c>
      <c r="AA29" s="35">
        <v>352.9</v>
      </c>
      <c r="AB29" s="35">
        <v>491.4</v>
      </c>
      <c r="AC29" s="211">
        <v>644.5</v>
      </c>
      <c r="AD29" s="35">
        <v>818.4881731506547</v>
      </c>
      <c r="AE29" s="35">
        <v>936.6084466818547</v>
      </c>
      <c r="AF29" s="35">
        <v>1056.712690105826</v>
      </c>
      <c r="AG29" s="211">
        <v>1121.4407831684548</v>
      </c>
      <c r="AH29" s="35">
        <v>1130.5099086012544</v>
      </c>
      <c r="AI29" s="211">
        <v>558.727168041477</v>
      </c>
      <c r="AJ29" s="43">
        <v>771.5648092613011</v>
      </c>
      <c r="AL29" s="590"/>
    </row>
    <row r="30" spans="2:38" ht="15" customHeight="1">
      <c r="B30" s="300" t="s">
        <v>145</v>
      </c>
      <c r="C30" s="29">
        <v>1023.1</v>
      </c>
      <c r="D30" s="32">
        <v>1014</v>
      </c>
      <c r="E30" s="32">
        <v>1039.4</v>
      </c>
      <c r="F30" s="32">
        <v>1047.8</v>
      </c>
      <c r="G30" s="32">
        <v>1067</v>
      </c>
      <c r="H30" s="32">
        <v>1103.9</v>
      </c>
      <c r="I30" s="32">
        <v>1150</v>
      </c>
      <c r="J30" s="32">
        <v>1201.7</v>
      </c>
      <c r="K30" s="101">
        <v>1268.2</v>
      </c>
      <c r="L30" s="32">
        <v>1358.4</v>
      </c>
      <c r="M30" s="32">
        <v>1453.9</v>
      </c>
      <c r="N30" s="32">
        <v>1568</v>
      </c>
      <c r="O30" s="32">
        <v>1718.9</v>
      </c>
      <c r="P30" s="32">
        <v>1896.9</v>
      </c>
      <c r="Q30" s="32">
        <v>2042.5</v>
      </c>
      <c r="R30" s="32">
        <v>2186.4</v>
      </c>
      <c r="S30" s="33">
        <v>2333.5</v>
      </c>
      <c r="T30"/>
      <c r="U30" s="390" t="s">
        <v>145</v>
      </c>
      <c r="V30" s="385">
        <v>1530.8</v>
      </c>
      <c r="W30" s="32">
        <v>1661.1</v>
      </c>
      <c r="X30" s="32">
        <v>1784.8</v>
      </c>
      <c r="Y30" s="32">
        <v>1894.8</v>
      </c>
      <c r="Z30" s="32">
        <v>2097.4</v>
      </c>
      <c r="AA30" s="32">
        <v>2141.2</v>
      </c>
      <c r="AB30" s="32">
        <v>2783.7</v>
      </c>
      <c r="AC30" s="101">
        <v>3035.9</v>
      </c>
      <c r="AD30" s="32">
        <v>3150.7338726828775</v>
      </c>
      <c r="AE30" s="32">
        <v>3314.1369852172143</v>
      </c>
      <c r="AF30" s="32">
        <v>3524.156307335067</v>
      </c>
      <c r="AG30" s="101">
        <v>3708.011750008631</v>
      </c>
      <c r="AH30" s="32">
        <v>3840.469983824368</v>
      </c>
      <c r="AI30" s="101">
        <v>4018.2561623827464</v>
      </c>
      <c r="AJ30" s="33">
        <v>4145.179345429375</v>
      </c>
      <c r="AL30" s="590"/>
    </row>
    <row r="31" spans="2:38" ht="15" customHeight="1">
      <c r="B31" s="300" t="s">
        <v>79</v>
      </c>
      <c r="C31" s="29">
        <v>74.3</v>
      </c>
      <c r="D31" s="32">
        <v>78</v>
      </c>
      <c r="E31" s="32">
        <v>79.7</v>
      </c>
      <c r="F31" s="32">
        <v>77.4</v>
      </c>
      <c r="G31" s="32">
        <v>79.7</v>
      </c>
      <c r="H31" s="32">
        <v>84.3</v>
      </c>
      <c r="I31" s="32">
        <v>93.1</v>
      </c>
      <c r="J31" s="32">
        <v>95.1</v>
      </c>
      <c r="K31" s="101">
        <v>102.7</v>
      </c>
      <c r="L31" s="32">
        <v>104.5</v>
      </c>
      <c r="M31" s="32">
        <v>111.3</v>
      </c>
      <c r="N31" s="32">
        <v>112.6</v>
      </c>
      <c r="O31" s="32">
        <v>114.7</v>
      </c>
      <c r="P31" s="32">
        <v>113.8</v>
      </c>
      <c r="Q31" s="32">
        <v>115.5</v>
      </c>
      <c r="R31" s="32">
        <v>119.5</v>
      </c>
      <c r="S31" s="33">
        <v>126.1</v>
      </c>
      <c r="T31"/>
      <c r="U31" s="390" t="s">
        <v>79</v>
      </c>
      <c r="V31" s="385">
        <v>182.6</v>
      </c>
      <c r="W31" s="32">
        <v>187.2</v>
      </c>
      <c r="X31" s="32">
        <v>176.9</v>
      </c>
      <c r="Y31" s="32">
        <v>181.5</v>
      </c>
      <c r="Z31" s="32">
        <v>194.8</v>
      </c>
      <c r="AA31" s="32">
        <v>210.9</v>
      </c>
      <c r="AB31" s="32">
        <v>214.7</v>
      </c>
      <c r="AC31" s="101">
        <v>235.9</v>
      </c>
      <c r="AD31" s="32">
        <v>234.38288658343654</v>
      </c>
      <c r="AE31" s="32">
        <v>234.17423917700788</v>
      </c>
      <c r="AF31" s="32">
        <v>244.0368181049647</v>
      </c>
      <c r="AG31" s="101">
        <v>256.65333040107663</v>
      </c>
      <c r="AH31" s="32">
        <v>291.0410772353312</v>
      </c>
      <c r="AI31" s="101">
        <v>260.9924690785569</v>
      </c>
      <c r="AJ31" s="33">
        <v>242.1805837115325</v>
      </c>
      <c r="AL31" s="590"/>
    </row>
    <row r="32" spans="2:38" ht="15" customHeight="1">
      <c r="B32" s="300"/>
      <c r="C32" s="29"/>
      <c r="D32" s="32"/>
      <c r="E32" s="32"/>
      <c r="F32" s="32"/>
      <c r="G32" s="32"/>
      <c r="H32" s="32"/>
      <c r="I32" s="32"/>
      <c r="J32" s="32"/>
      <c r="K32" s="101"/>
      <c r="L32" s="32"/>
      <c r="M32" s="32"/>
      <c r="N32" s="32"/>
      <c r="O32" s="32"/>
      <c r="P32" s="32"/>
      <c r="Q32" s="32"/>
      <c r="R32" s="32"/>
      <c r="S32" s="33"/>
      <c r="T32"/>
      <c r="U32" s="390"/>
      <c r="V32" s="385"/>
      <c r="W32" s="32"/>
      <c r="X32" s="32"/>
      <c r="Y32" s="32"/>
      <c r="Z32" s="32"/>
      <c r="AA32" s="32"/>
      <c r="AB32" s="32"/>
      <c r="AC32" s="101"/>
      <c r="AD32" s="32"/>
      <c r="AE32" s="32"/>
      <c r="AF32" s="32"/>
      <c r="AG32" s="101"/>
      <c r="AH32" s="32"/>
      <c r="AI32" s="101"/>
      <c r="AJ32" s="33"/>
      <c r="AL32" s="590"/>
    </row>
    <row r="33" spans="2:38" ht="15" customHeight="1">
      <c r="B33" s="301" t="s">
        <v>148</v>
      </c>
      <c r="C33" s="16">
        <f>+C29+C30+C31</f>
        <v>1097.4</v>
      </c>
      <c r="D33" s="17">
        <f aca="true" t="shared" si="2" ref="D33:L33">+D29+D30+D31</f>
        <v>1092</v>
      </c>
      <c r="E33" s="17">
        <f t="shared" si="2"/>
        <v>1119.1000000000001</v>
      </c>
      <c r="F33" s="17">
        <f t="shared" si="2"/>
        <v>1125.2</v>
      </c>
      <c r="G33" s="17">
        <f t="shared" si="2"/>
        <v>1146.7</v>
      </c>
      <c r="H33" s="17">
        <f t="shared" si="2"/>
        <v>1214</v>
      </c>
      <c r="I33" s="17">
        <f t="shared" si="2"/>
        <v>1267.6999999999998</v>
      </c>
      <c r="J33" s="17">
        <f t="shared" si="2"/>
        <v>1322.5</v>
      </c>
      <c r="K33" s="17">
        <f t="shared" si="2"/>
        <v>1397.9</v>
      </c>
      <c r="L33" s="17">
        <f t="shared" si="2"/>
        <v>1490.7</v>
      </c>
      <c r="M33" s="17">
        <f aca="true" t="shared" si="3" ref="M33:R33">+M29+M30+M31</f>
        <v>1598</v>
      </c>
      <c r="N33" s="17">
        <f t="shared" si="3"/>
        <v>1718.5</v>
      </c>
      <c r="O33" s="17">
        <f t="shared" si="3"/>
        <v>1878.9</v>
      </c>
      <c r="P33" s="17">
        <f t="shared" si="3"/>
        <v>2056.4</v>
      </c>
      <c r="Q33" s="17">
        <f t="shared" si="3"/>
        <v>2204.4</v>
      </c>
      <c r="R33" s="17">
        <f t="shared" si="3"/>
        <v>2357.6</v>
      </c>
      <c r="S33" s="18">
        <f>+S29+S30+S31</f>
        <v>2522.6</v>
      </c>
      <c r="T33"/>
      <c r="U33" s="478" t="s">
        <v>280</v>
      </c>
      <c r="V33" s="388"/>
      <c r="W33" s="17"/>
      <c r="X33" s="17"/>
      <c r="Y33" s="17"/>
      <c r="Z33" s="17"/>
      <c r="AA33" s="17"/>
      <c r="AB33" s="17"/>
      <c r="AC33" s="137"/>
      <c r="AD33" s="17"/>
      <c r="AE33" s="17"/>
      <c r="AF33" s="17"/>
      <c r="AG33" s="137"/>
      <c r="AH33" s="17"/>
      <c r="AI33" s="137"/>
      <c r="AJ33" s="18"/>
      <c r="AL33" s="590"/>
    </row>
    <row r="34" spans="2:38" ht="15" customHeight="1">
      <c r="B34" s="301"/>
      <c r="C34" s="16"/>
      <c r="D34" s="17"/>
      <c r="E34" s="17"/>
      <c r="F34" s="17"/>
      <c r="G34" s="17"/>
      <c r="H34" s="17"/>
      <c r="I34" s="17"/>
      <c r="J34" s="17"/>
      <c r="K34" s="137"/>
      <c r="L34" s="17"/>
      <c r="M34" s="17"/>
      <c r="N34" s="17"/>
      <c r="O34" s="17"/>
      <c r="P34" s="17"/>
      <c r="Q34" s="17"/>
      <c r="R34" s="17"/>
      <c r="S34" s="18"/>
      <c r="T34"/>
      <c r="U34" s="390" t="s">
        <v>197</v>
      </c>
      <c r="V34" s="393"/>
      <c r="W34" s="17"/>
      <c r="X34" s="17"/>
      <c r="Y34" s="17"/>
      <c r="Z34" s="17"/>
      <c r="AA34" s="17"/>
      <c r="AB34" s="17"/>
      <c r="AC34" s="137"/>
      <c r="AD34" s="17"/>
      <c r="AE34" s="17"/>
      <c r="AF34" s="17"/>
      <c r="AG34" s="137"/>
      <c r="AH34" s="17"/>
      <c r="AI34" s="137"/>
      <c r="AJ34" s="18"/>
      <c r="AL34" s="590"/>
    </row>
    <row r="35" spans="2:38" ht="15" customHeight="1">
      <c r="B35" s="301" t="s">
        <v>149</v>
      </c>
      <c r="C35" s="16"/>
      <c r="D35" s="17"/>
      <c r="E35" s="17"/>
      <c r="F35" s="17"/>
      <c r="G35" s="17"/>
      <c r="H35" s="17">
        <v>1128.9</v>
      </c>
      <c r="I35" s="17">
        <v>1171.3</v>
      </c>
      <c r="J35" s="17">
        <v>1188</v>
      </c>
      <c r="K35" s="137">
        <v>1217</v>
      </c>
      <c r="L35" s="17">
        <v>1208.3</v>
      </c>
      <c r="M35" s="17">
        <v>1231.8</v>
      </c>
      <c r="N35" s="17">
        <v>1272.7</v>
      </c>
      <c r="O35" s="17">
        <v>1321</v>
      </c>
      <c r="P35" s="17">
        <v>1353.5</v>
      </c>
      <c r="Q35" s="17">
        <v>1393.4</v>
      </c>
      <c r="R35" s="17">
        <v>1468.1</v>
      </c>
      <c r="S35" s="18">
        <v>1548.4</v>
      </c>
      <c r="T35"/>
      <c r="U35" s="390" t="s">
        <v>198</v>
      </c>
      <c r="V35" s="393">
        <v>827.7</v>
      </c>
      <c r="W35" s="32">
        <v>930.2</v>
      </c>
      <c r="X35" s="32">
        <v>1047.4</v>
      </c>
      <c r="Y35" s="32">
        <v>1166</v>
      </c>
      <c r="Z35" s="32">
        <v>1279.7</v>
      </c>
      <c r="AA35" s="32">
        <v>1430.9</v>
      </c>
      <c r="AB35" s="32">
        <v>1581.4</v>
      </c>
      <c r="AC35" s="101">
        <v>1642.2</v>
      </c>
      <c r="AD35" s="32">
        <v>1853.1746358736505</v>
      </c>
      <c r="AE35" s="32">
        <v>2133.0043032996327</v>
      </c>
      <c r="AF35" s="32">
        <v>2472.8866084966</v>
      </c>
      <c r="AG35" s="101">
        <v>2743.546903000651</v>
      </c>
      <c r="AH35" s="32">
        <v>3065.4325831065444</v>
      </c>
      <c r="AI35" s="101">
        <v>3493.961496768914</v>
      </c>
      <c r="AJ35" s="33">
        <v>3806.55778636407</v>
      </c>
      <c r="AL35" s="590"/>
    </row>
    <row r="36" spans="2:38" ht="15" customHeight="1">
      <c r="B36" s="300"/>
      <c r="C36" s="29"/>
      <c r="D36" s="32"/>
      <c r="E36" s="32"/>
      <c r="F36" s="32"/>
      <c r="G36" s="32"/>
      <c r="H36" s="32"/>
      <c r="I36" s="32"/>
      <c r="J36" s="32"/>
      <c r="K36" s="101"/>
      <c r="L36" s="32"/>
      <c r="M36" s="32"/>
      <c r="N36" s="32"/>
      <c r="O36" s="32"/>
      <c r="P36" s="32"/>
      <c r="Q36" s="32"/>
      <c r="R36" s="32"/>
      <c r="S36" s="33"/>
      <c r="T36"/>
      <c r="U36" s="390" t="s">
        <v>199</v>
      </c>
      <c r="V36" s="393">
        <v>564.7</v>
      </c>
      <c r="W36" s="394">
        <v>616.1</v>
      </c>
      <c r="X36" s="394">
        <v>655.6</v>
      </c>
      <c r="Y36" s="394">
        <v>693.5</v>
      </c>
      <c r="Z36" s="394">
        <v>753</v>
      </c>
      <c r="AA36" s="394">
        <v>842.6</v>
      </c>
      <c r="AB36" s="394">
        <v>888.7</v>
      </c>
      <c r="AC36" s="483">
        <v>1006.9</v>
      </c>
      <c r="AD36" s="394">
        <v>1157.818576566123</v>
      </c>
      <c r="AE36" s="394">
        <v>1228.0555122517267</v>
      </c>
      <c r="AF36" s="394">
        <v>1386.6491916659184</v>
      </c>
      <c r="AG36" s="483">
        <v>1440.070748874007</v>
      </c>
      <c r="AH36" s="394">
        <v>1468.686278310952</v>
      </c>
      <c r="AI36" s="483">
        <v>1270.693550059956</v>
      </c>
      <c r="AJ36" s="473">
        <v>1292.5595584576204</v>
      </c>
      <c r="AL36" s="590"/>
    </row>
    <row r="37" spans="2:38" ht="15" customHeight="1">
      <c r="B37" s="300" t="s">
        <v>150</v>
      </c>
      <c r="C37" s="16">
        <f>+C27+C30+C31</f>
        <v>8687.399999999998</v>
      </c>
      <c r="D37" s="17">
        <f>+D27+D30+D31</f>
        <v>9270.7</v>
      </c>
      <c r="E37" s="17">
        <f>+E27+E30+E31</f>
        <v>9915.8</v>
      </c>
      <c r="F37" s="17">
        <f>+F27+F30+F31</f>
        <v>10305.9</v>
      </c>
      <c r="G37" s="17">
        <f>+G27+G30+G31</f>
        <v>10692.9</v>
      </c>
      <c r="H37" s="17">
        <f aca="true" t="shared" si="4" ref="H37:M37">+H27+H33+H35</f>
        <v>10750.499999999998</v>
      </c>
      <c r="I37" s="17">
        <f t="shared" si="4"/>
        <v>10933.899999999998</v>
      </c>
      <c r="J37" s="17">
        <f t="shared" si="4"/>
        <v>11425.199999999999</v>
      </c>
      <c r="K37" s="17">
        <f t="shared" si="4"/>
        <v>12298.3</v>
      </c>
      <c r="L37" s="17">
        <f t="shared" si="4"/>
        <v>13160.999999999998</v>
      </c>
      <c r="M37" s="17">
        <f t="shared" si="4"/>
        <v>14294.3</v>
      </c>
      <c r="N37" s="17">
        <f aca="true" t="shared" si="5" ref="N37:S37">+N27+N33+N35</f>
        <v>15951.200000000003</v>
      </c>
      <c r="O37" s="17">
        <f t="shared" si="5"/>
        <v>17637.6</v>
      </c>
      <c r="P37" s="17">
        <f t="shared" si="5"/>
        <v>18274.199999999997</v>
      </c>
      <c r="Q37" s="17">
        <f t="shared" si="5"/>
        <v>19606.000000000004</v>
      </c>
      <c r="R37" s="17">
        <f t="shared" si="5"/>
        <v>21653.399999999994</v>
      </c>
      <c r="S37" s="18">
        <f t="shared" si="5"/>
        <v>23905.5</v>
      </c>
      <c r="T37"/>
      <c r="U37" s="390" t="s">
        <v>200</v>
      </c>
      <c r="V37" s="385">
        <v>432.1</v>
      </c>
      <c r="W37" s="32">
        <v>448.6</v>
      </c>
      <c r="X37" s="32">
        <v>501.2</v>
      </c>
      <c r="Y37" s="32">
        <v>551.3</v>
      </c>
      <c r="Z37" s="32">
        <v>591.9</v>
      </c>
      <c r="AA37" s="32">
        <v>613</v>
      </c>
      <c r="AB37" s="32">
        <v>715.4</v>
      </c>
      <c r="AC37" s="101">
        <v>764.5</v>
      </c>
      <c r="AD37" s="32">
        <v>813.8825056306774</v>
      </c>
      <c r="AE37" s="32">
        <v>1005.3339008636992</v>
      </c>
      <c r="AF37" s="32">
        <v>1174.6975430909404</v>
      </c>
      <c r="AG37" s="101">
        <v>1294.103236538238</v>
      </c>
      <c r="AH37" s="32">
        <v>1355.126391769602</v>
      </c>
      <c r="AI37" s="101">
        <v>1685.339906138174</v>
      </c>
      <c r="AJ37" s="33">
        <v>1828.8944848024696</v>
      </c>
      <c r="AL37" s="590"/>
    </row>
    <row r="38" spans="2:38" ht="15" customHeight="1">
      <c r="B38" s="300"/>
      <c r="C38" s="29"/>
      <c r="D38" s="32"/>
      <c r="E38" s="32"/>
      <c r="F38" s="32"/>
      <c r="G38" s="32"/>
      <c r="H38" s="32"/>
      <c r="I38" s="32"/>
      <c r="J38" s="32"/>
      <c r="K38" s="101"/>
      <c r="L38" s="32"/>
      <c r="M38" s="32"/>
      <c r="N38" s="32"/>
      <c r="O38" s="32"/>
      <c r="P38" s="32"/>
      <c r="Q38" s="32"/>
      <c r="R38" s="32"/>
      <c r="S38" s="33"/>
      <c r="T38"/>
      <c r="U38" s="390" t="s">
        <v>201</v>
      </c>
      <c r="V38" s="388"/>
      <c r="W38" s="17"/>
      <c r="X38" s="17"/>
      <c r="Y38" s="17"/>
      <c r="Z38" s="17"/>
      <c r="AA38" s="17"/>
      <c r="AB38" s="17"/>
      <c r="AC38" s="137"/>
      <c r="AD38" s="394"/>
      <c r="AE38" s="394"/>
      <c r="AF38" s="394"/>
      <c r="AG38" s="483"/>
      <c r="AH38" s="394"/>
      <c r="AI38" s="483"/>
      <c r="AJ38" s="473"/>
      <c r="AL38" s="590"/>
    </row>
    <row r="39" spans="2:38" ht="15" customHeight="1">
      <c r="B39" s="300" t="s">
        <v>80</v>
      </c>
      <c r="C39" s="29">
        <v>261.5</v>
      </c>
      <c r="D39" s="32">
        <v>266.9</v>
      </c>
      <c r="E39" s="32">
        <v>271.7</v>
      </c>
      <c r="F39" s="32">
        <v>263.6</v>
      </c>
      <c r="G39" s="32">
        <v>220.9</v>
      </c>
      <c r="H39" s="32">
        <v>208.9</v>
      </c>
      <c r="I39" s="32">
        <v>211.5</v>
      </c>
      <c r="J39" s="32">
        <v>198.2</v>
      </c>
      <c r="K39" s="101">
        <v>207.9</v>
      </c>
      <c r="L39" s="32">
        <v>228.7</v>
      </c>
      <c r="M39" s="32">
        <v>285.3</v>
      </c>
      <c r="N39" s="32">
        <v>349.4</v>
      </c>
      <c r="O39" s="32">
        <v>365</v>
      </c>
      <c r="P39" s="32">
        <v>346.2</v>
      </c>
      <c r="Q39" s="32">
        <v>395.4</v>
      </c>
      <c r="R39" s="32">
        <v>430.4</v>
      </c>
      <c r="S39" s="33">
        <v>469.2</v>
      </c>
      <c r="T39"/>
      <c r="U39" s="390" t="s">
        <v>202</v>
      </c>
      <c r="V39" s="385">
        <v>41.9</v>
      </c>
      <c r="W39" s="32">
        <v>52.4</v>
      </c>
      <c r="X39" s="32">
        <v>72.7</v>
      </c>
      <c r="Y39" s="32">
        <v>70.5</v>
      </c>
      <c r="Z39" s="32">
        <v>53.2</v>
      </c>
      <c r="AA39" s="32">
        <v>57.3</v>
      </c>
      <c r="AB39" s="32">
        <v>67.2</v>
      </c>
      <c r="AC39" s="101">
        <v>64.3</v>
      </c>
      <c r="AD39" s="394">
        <v>73.0071593824431</v>
      </c>
      <c r="AE39" s="394">
        <v>81.02578055795672</v>
      </c>
      <c r="AF39" s="394">
        <v>86.31168916757133</v>
      </c>
      <c r="AG39" s="483">
        <v>89.16300073929999</v>
      </c>
      <c r="AH39" s="394">
        <v>92.82432280930003</v>
      </c>
      <c r="AI39" s="483">
        <v>90.50623995929999</v>
      </c>
      <c r="AJ39" s="473">
        <v>100.26413245920602</v>
      </c>
      <c r="AL39" s="590"/>
    </row>
    <row r="40" spans="2:38" ht="15" customHeight="1">
      <c r="B40" s="300" t="s">
        <v>122</v>
      </c>
      <c r="C40" s="29">
        <v>164.4</v>
      </c>
      <c r="D40" s="32">
        <v>170.4</v>
      </c>
      <c r="E40" s="32">
        <v>172.3</v>
      </c>
      <c r="F40" s="32">
        <v>176.6</v>
      </c>
      <c r="G40" s="32">
        <v>154.5</v>
      </c>
      <c r="H40" s="32">
        <v>139.7</v>
      </c>
      <c r="I40" s="32">
        <v>136.7</v>
      </c>
      <c r="J40" s="32">
        <v>139.2</v>
      </c>
      <c r="K40" s="101">
        <v>170.7</v>
      </c>
      <c r="L40" s="32">
        <v>191.8</v>
      </c>
      <c r="M40" s="32">
        <v>254.5</v>
      </c>
      <c r="N40" s="32">
        <v>302.4</v>
      </c>
      <c r="O40" s="32">
        <v>330.3</v>
      </c>
      <c r="P40" s="32">
        <v>356.6</v>
      </c>
      <c r="Q40" s="32">
        <v>442.8</v>
      </c>
      <c r="R40" s="32">
        <v>544.5</v>
      </c>
      <c r="S40" s="33">
        <v>613.8</v>
      </c>
      <c r="T40"/>
      <c r="U40" s="482"/>
      <c r="V40" s="481"/>
      <c r="W40" s="213"/>
      <c r="X40" s="213"/>
      <c r="Y40" s="213"/>
      <c r="Z40" s="213"/>
      <c r="AA40" s="213"/>
      <c r="AB40" s="213"/>
      <c r="AC40" s="213"/>
      <c r="AD40" s="32"/>
      <c r="AE40" s="32"/>
      <c r="AF40" s="32"/>
      <c r="AG40" s="101"/>
      <c r="AH40" s="32"/>
      <c r="AI40" s="101"/>
      <c r="AJ40" s="33"/>
      <c r="AL40" s="590"/>
    </row>
    <row r="41" spans="2:38" ht="15" customHeight="1">
      <c r="B41" s="300" t="s">
        <v>5</v>
      </c>
      <c r="C41" s="29">
        <v>237.8</v>
      </c>
      <c r="D41" s="32">
        <v>272.3</v>
      </c>
      <c r="E41" s="32">
        <v>323.4</v>
      </c>
      <c r="F41" s="32">
        <v>366.7</v>
      </c>
      <c r="G41" s="32">
        <v>348.6</v>
      </c>
      <c r="H41" s="32">
        <v>397.1</v>
      </c>
      <c r="I41" s="32">
        <v>460.8</v>
      </c>
      <c r="J41" s="32">
        <v>465.6</v>
      </c>
      <c r="K41" s="101">
        <v>500</v>
      </c>
      <c r="L41" s="32">
        <v>539.5</v>
      </c>
      <c r="M41" s="32">
        <v>562</v>
      </c>
      <c r="N41" s="32">
        <v>639.5</v>
      </c>
      <c r="O41" s="32">
        <v>650</v>
      </c>
      <c r="P41" s="32">
        <v>672.2</v>
      </c>
      <c r="Q41" s="32">
        <v>732.9</v>
      </c>
      <c r="R41" s="32">
        <v>812.5</v>
      </c>
      <c r="S41" s="33">
        <v>928.9</v>
      </c>
      <c r="T41"/>
      <c r="U41" s="390" t="s">
        <v>150</v>
      </c>
      <c r="V41" s="137">
        <f aca="true" t="shared" si="6" ref="V41:AC41">+V10+V11+V12+V13+V14+V15+V18+V19+V20+V21+V22+V23+V24+V25-V26+V29+V30+V31+V35+V36+V37+V39</f>
        <v>20113.3</v>
      </c>
      <c r="W41" s="17">
        <f t="shared" si="6"/>
        <v>23544.100000000002</v>
      </c>
      <c r="X41" s="17">
        <f t="shared" si="6"/>
        <v>25513.300000000007</v>
      </c>
      <c r="Y41" s="17">
        <f t="shared" si="6"/>
        <v>27661.699999999997</v>
      </c>
      <c r="Z41" s="17">
        <f t="shared" si="6"/>
        <v>32871.6</v>
      </c>
      <c r="AA41" s="17">
        <f t="shared" si="6"/>
        <v>38306.6</v>
      </c>
      <c r="AB41" s="17">
        <f t="shared" si="6"/>
        <v>43844.299999999996</v>
      </c>
      <c r="AC41" s="17">
        <f t="shared" si="6"/>
        <v>47950.299999999996</v>
      </c>
      <c r="AD41" s="17">
        <f aca="true" t="shared" si="7" ref="AD41:AI41">+AD10+AD11+AD12+AD13+AD14+AD15+AD18+AD19+AD20+AD21+AD22+AD23+AD24+AD25-AD26+AD29+AD30+AD31+AD35+AD36+AD37+AD39</f>
        <v>52021.69551070336</v>
      </c>
      <c r="AE41" s="17">
        <f t="shared" si="7"/>
        <v>55605.190903549206</v>
      </c>
      <c r="AF41" s="17">
        <f t="shared" si="7"/>
        <v>59923.50883763293</v>
      </c>
      <c r="AG41" s="137">
        <f t="shared" si="7"/>
        <v>62718.56216056938</v>
      </c>
      <c r="AH41" s="17">
        <f>+AH10+AH11+AH12+AH13+AH14+AH15+AH18+AH19+AH20+AH21+AH22+AH23+AH24+AH25+AH29+AH30+AH31+AH35+AH36+AH37+AH39</f>
        <v>64864.28782570769</v>
      </c>
      <c r="AI41" s="137">
        <f t="shared" si="7"/>
        <v>52220.40810804042</v>
      </c>
      <c r="AJ41" s="18">
        <f>+AJ10+AJ11+AJ12+AJ13+AJ14+AJ15+AJ18+AJ19+AJ20+AJ21+AJ22+AJ23+AJ24+AJ25-AJ26+AJ29+AJ30+AJ31+AJ35+AJ36+AJ37+AJ39</f>
        <v>61243.09026708877</v>
      </c>
      <c r="AL41" s="590"/>
    </row>
    <row r="42" spans="2:38" ht="15" customHeight="1">
      <c r="B42" s="300" t="s">
        <v>6</v>
      </c>
      <c r="C42" s="34">
        <v>29</v>
      </c>
      <c r="D42" s="35">
        <v>63.5</v>
      </c>
      <c r="E42" s="35">
        <v>34.4</v>
      </c>
      <c r="F42" s="35">
        <v>41.3</v>
      </c>
      <c r="G42" s="35">
        <v>46</v>
      </c>
      <c r="H42" s="35">
        <v>60</v>
      </c>
      <c r="I42" s="35">
        <v>51.8</v>
      </c>
      <c r="J42" s="35">
        <v>45.4</v>
      </c>
      <c r="K42" s="211">
        <v>77.7</v>
      </c>
      <c r="L42" s="35">
        <v>79.8</v>
      </c>
      <c r="M42" s="35">
        <v>157.5</v>
      </c>
      <c r="N42" s="35">
        <v>158.1</v>
      </c>
      <c r="O42" s="35">
        <v>170</v>
      </c>
      <c r="P42" s="35">
        <v>110.8</v>
      </c>
      <c r="Q42" s="35">
        <v>182.7</v>
      </c>
      <c r="R42" s="35">
        <v>168.7</v>
      </c>
      <c r="S42" s="43">
        <v>161.9</v>
      </c>
      <c r="T42"/>
      <c r="U42" s="391"/>
      <c r="V42" s="388"/>
      <c r="W42" s="388"/>
      <c r="X42" s="388"/>
      <c r="Y42" s="388"/>
      <c r="Z42" s="388"/>
      <c r="AA42" s="388"/>
      <c r="AB42" s="17"/>
      <c r="AC42" s="137"/>
      <c r="AD42" s="17"/>
      <c r="AE42" s="17"/>
      <c r="AF42" s="17"/>
      <c r="AG42" s="137"/>
      <c r="AH42" s="17"/>
      <c r="AI42" s="137"/>
      <c r="AJ42" s="18"/>
      <c r="AL42" s="590"/>
    </row>
    <row r="43" spans="2:38" ht="15" customHeight="1">
      <c r="B43" s="300"/>
      <c r="C43" s="34"/>
      <c r="D43" s="35"/>
      <c r="E43" s="35"/>
      <c r="F43" s="35"/>
      <c r="G43" s="35"/>
      <c r="H43" s="35"/>
      <c r="I43" s="35"/>
      <c r="J43" s="35"/>
      <c r="K43" s="211"/>
      <c r="L43" s="35"/>
      <c r="M43" s="35"/>
      <c r="N43" s="35"/>
      <c r="O43" s="35"/>
      <c r="P43" s="35"/>
      <c r="Q43" s="35"/>
      <c r="R43" s="35"/>
      <c r="S43" s="43"/>
      <c r="T43"/>
      <c r="U43" s="390" t="s">
        <v>281</v>
      </c>
      <c r="V43" s="387">
        <v>844.5</v>
      </c>
      <c r="W43" s="35">
        <v>978.3</v>
      </c>
      <c r="X43" s="35">
        <v>1080.3</v>
      </c>
      <c r="Y43" s="35">
        <v>1255.5</v>
      </c>
      <c r="Z43" s="35">
        <v>1502.3</v>
      </c>
      <c r="AA43" s="35">
        <v>1648.1</v>
      </c>
      <c r="AB43" s="35">
        <v>1755.8</v>
      </c>
      <c r="AC43" s="211">
        <v>1971.2</v>
      </c>
      <c r="AD43" s="32">
        <v>2070.0182648600007</v>
      </c>
      <c r="AE43" s="32">
        <v>2302.504505390001</v>
      </c>
      <c r="AF43" s="32">
        <v>2279.3</v>
      </c>
      <c r="AG43" s="101">
        <v>2210.847051887209</v>
      </c>
      <c r="AH43" s="32">
        <v>2120.1393246133034</v>
      </c>
      <c r="AI43" s="101">
        <v>1756.628887132501</v>
      </c>
      <c r="AJ43" s="33">
        <v>2361.9491016101683</v>
      </c>
      <c r="AL43" s="590"/>
    </row>
    <row r="44" spans="2:38" s="22" customFormat="1" ht="15" customHeight="1">
      <c r="B44" s="300" t="s">
        <v>151</v>
      </c>
      <c r="C44" s="37">
        <f>+C37+C39+C40+C41-C42</f>
        <v>9322.099999999997</v>
      </c>
      <c r="D44" s="38">
        <f aca="true" t="shared" si="8" ref="D44:I44">+D37+D39+D40+D41-D42</f>
        <v>9916.8</v>
      </c>
      <c r="E44" s="38">
        <f t="shared" si="8"/>
        <v>10648.8</v>
      </c>
      <c r="F44" s="38">
        <f t="shared" si="8"/>
        <v>11071.500000000002</v>
      </c>
      <c r="G44" s="38">
        <f t="shared" si="8"/>
        <v>11370.9</v>
      </c>
      <c r="H44" s="38">
        <f t="shared" si="8"/>
        <v>11436.199999999999</v>
      </c>
      <c r="I44" s="38">
        <f t="shared" si="8"/>
        <v>11691.099999999999</v>
      </c>
      <c r="J44" s="38">
        <f aca="true" t="shared" si="9" ref="J44:O44">+J37+J39+J40+J41-J42</f>
        <v>12182.800000000001</v>
      </c>
      <c r="K44" s="212">
        <f t="shared" si="9"/>
        <v>13099.199999999999</v>
      </c>
      <c r="L44" s="38">
        <f t="shared" si="9"/>
        <v>14041.199999999999</v>
      </c>
      <c r="M44" s="38">
        <f t="shared" si="9"/>
        <v>15238.599999999999</v>
      </c>
      <c r="N44" s="38">
        <f t="shared" si="9"/>
        <v>17084.400000000005</v>
      </c>
      <c r="O44" s="38">
        <f t="shared" si="9"/>
        <v>18812.899999999998</v>
      </c>
      <c r="P44" s="38">
        <f>+P37+P39+P40+P41-P42</f>
        <v>19538.399999999998</v>
      </c>
      <c r="Q44" s="38">
        <f>+Q37+Q39+Q40+Q41-Q42</f>
        <v>20994.400000000005</v>
      </c>
      <c r="R44" s="38">
        <f>+R37+R39+R40+R41-R42</f>
        <v>23272.099999999995</v>
      </c>
      <c r="S44" s="39">
        <f>+S37+S39+S40+S41-S42</f>
        <v>25755.5</v>
      </c>
      <c r="T44"/>
      <c r="U44" s="390"/>
      <c r="V44" s="388"/>
      <c r="W44" s="388"/>
      <c r="X44" s="388"/>
      <c r="Y44" s="388"/>
      <c r="Z44" s="388"/>
      <c r="AA44" s="388"/>
      <c r="AB44" s="17"/>
      <c r="AC44" s="137"/>
      <c r="AD44" s="17"/>
      <c r="AE44" s="17"/>
      <c r="AF44" s="17"/>
      <c r="AG44" s="137"/>
      <c r="AH44" s="17"/>
      <c r="AI44" s="137"/>
      <c r="AJ44" s="18"/>
      <c r="AL44" s="591"/>
    </row>
    <row r="45" spans="2:38" s="22" customFormat="1" ht="15" customHeight="1" thickBot="1">
      <c r="B45" s="302"/>
      <c r="C45" s="40"/>
      <c r="D45" s="41"/>
      <c r="E45" s="41"/>
      <c r="F45" s="41"/>
      <c r="G45" s="41"/>
      <c r="H45" s="41"/>
      <c r="I45" s="41"/>
      <c r="J45" s="41"/>
      <c r="K45" s="102"/>
      <c r="L45" s="41"/>
      <c r="M45" s="41"/>
      <c r="N45" s="41"/>
      <c r="O45" s="41"/>
      <c r="P45" s="41"/>
      <c r="Q45" s="41"/>
      <c r="R45" s="41"/>
      <c r="S45" s="42"/>
      <c r="T45"/>
      <c r="U45" s="390" t="s">
        <v>151</v>
      </c>
      <c r="V45" s="479">
        <f>+V41+V43</f>
        <v>20957.8</v>
      </c>
      <c r="W45" s="480">
        <f>+W41+W43</f>
        <v>24522.4</v>
      </c>
      <c r="X45" s="480">
        <f aca="true" t="shared" si="10" ref="X45:AC45">+X41+X43</f>
        <v>26593.600000000006</v>
      </c>
      <c r="Y45" s="480">
        <f t="shared" si="10"/>
        <v>28917.199999999997</v>
      </c>
      <c r="Z45" s="480">
        <f t="shared" si="10"/>
        <v>34373.9</v>
      </c>
      <c r="AA45" s="480">
        <f t="shared" si="10"/>
        <v>39954.7</v>
      </c>
      <c r="AB45" s="480">
        <f t="shared" si="10"/>
        <v>45600.1</v>
      </c>
      <c r="AC45" s="480">
        <f t="shared" si="10"/>
        <v>49921.49999999999</v>
      </c>
      <c r="AD45" s="17">
        <f aca="true" t="shared" si="11" ref="AD45:AI45">+AD41+AD43</f>
        <v>54091.71377556336</v>
      </c>
      <c r="AE45" s="17">
        <f t="shared" si="11"/>
        <v>57907.69540893921</v>
      </c>
      <c r="AF45" s="17">
        <f t="shared" si="11"/>
        <v>62202.80883763293</v>
      </c>
      <c r="AG45" s="137">
        <f t="shared" si="11"/>
        <v>64929.409212456594</v>
      </c>
      <c r="AH45" s="17">
        <f t="shared" si="11"/>
        <v>66984.42715032099</v>
      </c>
      <c r="AI45" s="137">
        <f t="shared" si="11"/>
        <v>53977.03699517292</v>
      </c>
      <c r="AJ45" s="18">
        <f>+AJ41+AJ43</f>
        <v>63605.03936869894</v>
      </c>
      <c r="AL45" s="591"/>
    </row>
    <row r="46" spans="21:38" ht="15" customHeight="1" thickBot="1">
      <c r="U46" s="392"/>
      <c r="V46" s="485"/>
      <c r="W46" s="486"/>
      <c r="X46" s="486"/>
      <c r="Y46" s="486"/>
      <c r="Z46" s="486"/>
      <c r="AA46" s="486"/>
      <c r="AB46" s="486"/>
      <c r="AC46" s="487"/>
      <c r="AD46" s="486"/>
      <c r="AE46" s="486"/>
      <c r="AF46" s="486"/>
      <c r="AG46" s="487"/>
      <c r="AH46" s="486"/>
      <c r="AI46" s="487"/>
      <c r="AJ46" s="488"/>
      <c r="AL46" s="590"/>
    </row>
    <row r="47" spans="2:30" ht="24.75" customHeight="1" thickBot="1">
      <c r="B47" s="669" t="s">
        <v>14</v>
      </c>
      <c r="C47" s="670"/>
      <c r="D47" s="670"/>
      <c r="E47" s="670"/>
      <c r="F47" s="670"/>
      <c r="G47" s="670"/>
      <c r="H47" s="670"/>
      <c r="I47" s="670"/>
      <c r="J47" s="670"/>
      <c r="K47" s="670"/>
      <c r="L47" s="670"/>
      <c r="M47" s="670"/>
      <c r="N47" s="670"/>
      <c r="O47" s="670"/>
      <c r="P47" s="670"/>
      <c r="Q47" s="670"/>
      <c r="R47" s="671"/>
      <c r="U47"/>
      <c r="V47"/>
      <c r="W47"/>
      <c r="X47"/>
      <c r="Y47"/>
      <c r="Z47"/>
      <c r="AA47"/>
      <c r="AB47"/>
      <c r="AC47"/>
      <c r="AD47" s="429"/>
    </row>
    <row r="48" spans="2:33" s="23" customFormat="1" ht="24.75" customHeight="1" thickBot="1">
      <c r="B48" s="304" t="s">
        <v>67</v>
      </c>
      <c r="C48" s="305" t="s">
        <v>8</v>
      </c>
      <c r="D48" s="296" t="s">
        <v>9</v>
      </c>
      <c r="E48" s="296" t="s">
        <v>10</v>
      </c>
      <c r="F48" s="296" t="s">
        <v>11</v>
      </c>
      <c r="G48" s="297" t="s">
        <v>12</v>
      </c>
      <c r="H48" s="297" t="s">
        <v>13</v>
      </c>
      <c r="I48" s="297" t="s">
        <v>123</v>
      </c>
      <c r="J48" s="296" t="s">
        <v>127</v>
      </c>
      <c r="K48" s="297" t="s">
        <v>152</v>
      </c>
      <c r="L48" s="296" t="s">
        <v>160</v>
      </c>
      <c r="M48" s="296" t="s">
        <v>168</v>
      </c>
      <c r="N48" s="296" t="s">
        <v>170</v>
      </c>
      <c r="O48" s="296" t="s">
        <v>172</v>
      </c>
      <c r="P48" s="296" t="s">
        <v>175</v>
      </c>
      <c r="Q48" s="296" t="s">
        <v>182</v>
      </c>
      <c r="R48" s="306" t="s">
        <v>187</v>
      </c>
      <c r="U48"/>
      <c r="V48"/>
      <c r="W48"/>
      <c r="X48"/>
      <c r="Y48"/>
      <c r="Z48"/>
      <c r="AA48"/>
      <c r="AB48"/>
      <c r="AC48"/>
      <c r="AD48"/>
      <c r="AG48" s="556"/>
    </row>
    <row r="49" spans="2:30" ht="15" customHeight="1">
      <c r="B49" s="299" t="s">
        <v>68</v>
      </c>
      <c r="C49" s="106">
        <f aca="true" t="shared" si="12" ref="C49:I49">+(D9/C9-1)*100</f>
        <v>1.201652271873832</v>
      </c>
      <c r="D49" s="30">
        <f t="shared" si="12"/>
        <v>2.003710575139128</v>
      </c>
      <c r="E49" s="30">
        <f t="shared" si="12"/>
        <v>8.348490360130967</v>
      </c>
      <c r="F49" s="30">
        <f t="shared" si="12"/>
        <v>0.7050528789659172</v>
      </c>
      <c r="G49" s="30">
        <f t="shared" si="12"/>
        <v>-1.9336556092682144</v>
      </c>
      <c r="H49" s="136">
        <f t="shared" si="12"/>
        <v>-3.926568077511461</v>
      </c>
      <c r="I49" s="136">
        <f t="shared" si="12"/>
        <v>2.8131634819532847</v>
      </c>
      <c r="J49" s="30">
        <f aca="true" t="shared" si="13" ref="J49:R49">+(K9/J9-1)*100</f>
        <v>2.030631560832896</v>
      </c>
      <c r="K49" s="136">
        <f t="shared" si="13"/>
        <v>4.840613931523041</v>
      </c>
      <c r="L49" s="30">
        <f t="shared" si="13"/>
        <v>7.88288288288288</v>
      </c>
      <c r="M49" s="30">
        <f t="shared" si="13"/>
        <v>2.713987473903967</v>
      </c>
      <c r="N49" s="30">
        <f t="shared" si="13"/>
        <v>4.45702671312429</v>
      </c>
      <c r="O49" s="30">
        <f t="shared" si="13"/>
        <v>-10.145934676858925</v>
      </c>
      <c r="P49" s="30">
        <f t="shared" si="13"/>
        <v>2.598607888631088</v>
      </c>
      <c r="Q49" s="30">
        <f t="shared" si="13"/>
        <v>6.799336650082921</v>
      </c>
      <c r="R49" s="31">
        <f t="shared" si="13"/>
        <v>4.898362507058174</v>
      </c>
      <c r="U49"/>
      <c r="V49"/>
      <c r="W49"/>
      <c r="X49"/>
      <c r="Y49"/>
      <c r="Z49"/>
      <c r="AA49"/>
      <c r="AB49"/>
      <c r="AC49"/>
      <c r="AD49"/>
    </row>
    <row r="50" spans="2:21" ht="15" customHeight="1">
      <c r="B50" s="300" t="s">
        <v>69</v>
      </c>
      <c r="C50" s="107">
        <f>+(D10/C10-1)*100</f>
        <v>13.047210300429168</v>
      </c>
      <c r="D50" s="32">
        <f aca="true" t="shared" si="14" ref="D50:R50">+(E10/D10-1)*100</f>
        <v>25.512528473804117</v>
      </c>
      <c r="E50" s="32">
        <f t="shared" si="14"/>
        <v>-20.024198427102245</v>
      </c>
      <c r="F50" s="32">
        <f t="shared" si="14"/>
        <v>49.621785173978836</v>
      </c>
      <c r="G50" s="32">
        <f t="shared" si="14"/>
        <v>31.951466127401407</v>
      </c>
      <c r="H50" s="101">
        <f t="shared" si="14"/>
        <v>19.65517241379311</v>
      </c>
      <c r="I50" s="101">
        <f t="shared" si="14"/>
        <v>20.973422990714052</v>
      </c>
      <c r="J50" s="32">
        <f t="shared" si="14"/>
        <v>0.31762837480147077</v>
      </c>
      <c r="K50" s="101">
        <f t="shared" si="14"/>
        <v>-0.9498680738786347</v>
      </c>
      <c r="L50" s="32">
        <f t="shared" si="14"/>
        <v>-1.8380394246137355</v>
      </c>
      <c r="M50" s="32">
        <f t="shared" si="14"/>
        <v>-3.3378561736770673</v>
      </c>
      <c r="N50" s="32">
        <f t="shared" si="14"/>
        <v>15.693430656934314</v>
      </c>
      <c r="O50" s="32">
        <f t="shared" si="14"/>
        <v>-3.6641591846639177</v>
      </c>
      <c r="P50" s="32">
        <f t="shared" si="14"/>
        <v>-41.48614609571788</v>
      </c>
      <c r="Q50" s="32">
        <f t="shared" si="14"/>
        <v>-21.86827378390014</v>
      </c>
      <c r="R50" s="33">
        <f t="shared" si="14"/>
        <v>2.4793388429751984</v>
      </c>
      <c r="U50"/>
    </row>
    <row r="51" spans="2:21" ht="15" customHeight="1">
      <c r="B51" s="300" t="s">
        <v>70</v>
      </c>
      <c r="C51" s="29">
        <f>+(D11/C11-1)*100</f>
        <v>80.76923076923077</v>
      </c>
      <c r="D51" s="32">
        <f aca="true" t="shared" si="15" ref="D51:R54">+(E11/D11-1)*100</f>
        <v>26.063829787234027</v>
      </c>
      <c r="E51" s="32">
        <f t="shared" si="15"/>
        <v>23.9099859353024</v>
      </c>
      <c r="F51" s="32">
        <f t="shared" si="15"/>
        <v>-10.556186152099889</v>
      </c>
      <c r="G51" s="32">
        <f t="shared" si="15"/>
        <v>-4.060913705583758</v>
      </c>
      <c r="H51" s="101">
        <f t="shared" si="15"/>
        <v>18.121693121693117</v>
      </c>
      <c r="I51" s="101">
        <f t="shared" si="15"/>
        <v>35.386338185890274</v>
      </c>
      <c r="J51" s="32">
        <f t="shared" si="15"/>
        <v>12.489660876757647</v>
      </c>
      <c r="K51" s="101">
        <f t="shared" si="15"/>
        <v>0.07352941176470562</v>
      </c>
      <c r="L51" s="32">
        <f t="shared" si="15"/>
        <v>17.193240264511388</v>
      </c>
      <c r="M51" s="32">
        <f t="shared" si="15"/>
        <v>24.012539184952985</v>
      </c>
      <c r="N51" s="32">
        <f t="shared" si="15"/>
        <v>30.940343781597555</v>
      </c>
      <c r="O51" s="32">
        <f t="shared" si="15"/>
        <v>4.55598455598456</v>
      </c>
      <c r="P51" s="32">
        <f t="shared" si="15"/>
        <v>7.348596750369274</v>
      </c>
      <c r="Q51" s="32">
        <f t="shared" si="15"/>
        <v>21.603027175782596</v>
      </c>
      <c r="R51" s="33">
        <f t="shared" si="15"/>
        <v>30.04243281471004</v>
      </c>
      <c r="U51"/>
    </row>
    <row r="52" spans="2:21" ht="15" customHeight="1" thickBot="1">
      <c r="B52" s="300" t="s">
        <v>71</v>
      </c>
      <c r="C52" s="29">
        <f>+(D12/C12-1)*100</f>
        <v>3.2558560188116203</v>
      </c>
      <c r="D52" s="32">
        <f t="shared" si="15"/>
        <v>2.2335114303231984</v>
      </c>
      <c r="E52" s="32">
        <f t="shared" si="15"/>
        <v>1.0623714873200685</v>
      </c>
      <c r="F52" s="32">
        <f t="shared" si="15"/>
        <v>-7.154967785690058</v>
      </c>
      <c r="G52" s="32">
        <f t="shared" si="15"/>
        <v>-6.291088385682986</v>
      </c>
      <c r="H52" s="101">
        <f t="shared" si="15"/>
        <v>-2.6210659651174084</v>
      </c>
      <c r="I52" s="101">
        <f t="shared" si="15"/>
        <v>-3.402041224734842</v>
      </c>
      <c r="J52" s="32">
        <f t="shared" si="15"/>
        <v>2.082038533250463</v>
      </c>
      <c r="K52" s="101">
        <f t="shared" si="15"/>
        <v>4.200913242009152</v>
      </c>
      <c r="L52" s="32">
        <f t="shared" si="15"/>
        <v>3.875742526049275</v>
      </c>
      <c r="M52" s="32">
        <f t="shared" si="15"/>
        <v>5.624824224242997</v>
      </c>
      <c r="N52" s="32">
        <f t="shared" si="15"/>
        <v>3.922960859146185</v>
      </c>
      <c r="O52" s="32">
        <f t="shared" si="15"/>
        <v>-0.5978307284994488</v>
      </c>
      <c r="P52" s="32">
        <f t="shared" si="15"/>
        <v>1.0997508377008192</v>
      </c>
      <c r="Q52" s="32">
        <f t="shared" si="15"/>
        <v>3.2293702727967943</v>
      </c>
      <c r="R52" s="33">
        <f t="shared" si="15"/>
        <v>3.646991026590918</v>
      </c>
      <c r="U52"/>
    </row>
    <row r="53" spans="2:37" ht="15" customHeight="1" thickBot="1">
      <c r="B53" s="300" t="s">
        <v>72</v>
      </c>
      <c r="C53" s="29">
        <f>+(D13/C13-1)*100</f>
        <v>6.161137440758302</v>
      </c>
      <c r="D53" s="32">
        <f t="shared" si="15"/>
        <v>-2.4872448979591844</v>
      </c>
      <c r="E53" s="32">
        <f t="shared" si="15"/>
        <v>12.001308044473502</v>
      </c>
      <c r="F53" s="32">
        <f t="shared" si="15"/>
        <v>9.343065693430663</v>
      </c>
      <c r="G53" s="32">
        <f t="shared" si="15"/>
        <v>-4.672897196261683</v>
      </c>
      <c r="H53" s="101">
        <f t="shared" si="15"/>
        <v>6.8627450980392135</v>
      </c>
      <c r="I53" s="101">
        <f t="shared" si="15"/>
        <v>1.4416775884665833</v>
      </c>
      <c r="J53" s="32">
        <f t="shared" si="15"/>
        <v>6.098191214470283</v>
      </c>
      <c r="K53" s="101">
        <f t="shared" si="15"/>
        <v>5.552849488553324</v>
      </c>
      <c r="L53" s="32">
        <f t="shared" si="15"/>
        <v>3.2764190124596304</v>
      </c>
      <c r="M53" s="32">
        <f t="shared" si="15"/>
        <v>8.199285075960683</v>
      </c>
      <c r="N53" s="32">
        <f t="shared" si="15"/>
        <v>3.8405946727235074</v>
      </c>
      <c r="O53" s="32">
        <f t="shared" si="15"/>
        <v>7.476635514018692</v>
      </c>
      <c r="P53" s="32">
        <f t="shared" si="15"/>
        <v>6.419981498612404</v>
      </c>
      <c r="Q53" s="32">
        <f t="shared" si="15"/>
        <v>6.171766342141871</v>
      </c>
      <c r="R53" s="33">
        <f t="shared" si="15"/>
        <v>11.691501555591932</v>
      </c>
      <c r="U53" s="669" t="s">
        <v>14</v>
      </c>
      <c r="V53" s="670"/>
      <c r="W53" s="670"/>
      <c r="X53" s="670"/>
      <c r="Y53" s="670"/>
      <c r="Z53" s="670"/>
      <c r="AA53" s="670"/>
      <c r="AB53" s="670"/>
      <c r="AC53" s="670"/>
      <c r="AD53" s="670"/>
      <c r="AE53" s="670"/>
      <c r="AF53" s="670"/>
      <c r="AG53" s="670"/>
      <c r="AH53" s="670"/>
      <c r="AI53" s="670"/>
      <c r="AJ53" s="671"/>
      <c r="AK53"/>
    </row>
    <row r="54" spans="2:36" ht="15" customHeight="1" thickBot="1">
      <c r="B54" s="300" t="s">
        <v>73</v>
      </c>
      <c r="C54" s="29">
        <f>+(D14/C14-1)*100</f>
        <v>6.73813169984685</v>
      </c>
      <c r="D54" s="32">
        <f t="shared" si="15"/>
        <v>11.879483500717347</v>
      </c>
      <c r="E54" s="32">
        <f t="shared" si="15"/>
        <v>35.983585534752514</v>
      </c>
      <c r="F54" s="32">
        <f t="shared" si="15"/>
        <v>1.2636740852508321</v>
      </c>
      <c r="G54" s="32">
        <f t="shared" si="15"/>
        <v>-26.59713168187744</v>
      </c>
      <c r="H54" s="101">
        <f t="shared" si="15"/>
        <v>-7.282415630550632</v>
      </c>
      <c r="I54" s="101">
        <f t="shared" si="15"/>
        <v>34.37328954570336</v>
      </c>
      <c r="J54" s="32">
        <f t="shared" si="15"/>
        <v>14.378818737270871</v>
      </c>
      <c r="K54" s="101">
        <f t="shared" si="15"/>
        <v>0.9259259259259078</v>
      </c>
      <c r="L54" s="32">
        <f t="shared" si="15"/>
        <v>18.419195483415685</v>
      </c>
      <c r="M54" s="32">
        <f t="shared" si="15"/>
        <v>22.064958283671032</v>
      </c>
      <c r="N54" s="32">
        <f t="shared" si="15"/>
        <v>31.20956914439157</v>
      </c>
      <c r="O54" s="32">
        <f t="shared" si="15"/>
        <v>4.623255813953486</v>
      </c>
      <c r="P54" s="32">
        <f t="shared" si="15"/>
        <v>7.219703031919633</v>
      </c>
      <c r="Q54" s="32">
        <f t="shared" si="15"/>
        <v>19.197280039804298</v>
      </c>
      <c r="R54" s="33">
        <f t="shared" si="15"/>
        <v>29.3376930569083</v>
      </c>
      <c r="U54" s="409" t="s">
        <v>67</v>
      </c>
      <c r="V54" s="410">
        <v>2007</v>
      </c>
      <c r="W54" s="411" t="s">
        <v>170</v>
      </c>
      <c r="X54" s="411" t="s">
        <v>206</v>
      </c>
      <c r="Y54" s="412" t="s">
        <v>175</v>
      </c>
      <c r="Z54" s="412" t="s">
        <v>182</v>
      </c>
      <c r="AA54" s="412" t="s">
        <v>187</v>
      </c>
      <c r="AB54" s="413" t="s">
        <v>207</v>
      </c>
      <c r="AC54" s="472" t="s">
        <v>222</v>
      </c>
      <c r="AD54" s="341" t="s">
        <v>282</v>
      </c>
      <c r="AE54" s="472" t="s">
        <v>288</v>
      </c>
      <c r="AF54" s="341" t="s">
        <v>295</v>
      </c>
      <c r="AG54" s="341" t="s">
        <v>297</v>
      </c>
      <c r="AH54" s="472" t="s">
        <v>306</v>
      </c>
      <c r="AI54" s="341" t="s">
        <v>333</v>
      </c>
      <c r="AJ54" s="298" t="s">
        <v>341</v>
      </c>
    </row>
    <row r="55" spans="2:36" ht="15" customHeight="1" thickBot="1">
      <c r="B55" s="300" t="s">
        <v>141</v>
      </c>
      <c r="C55" s="29"/>
      <c r="D55" s="32"/>
      <c r="E55" s="32"/>
      <c r="F55" s="32"/>
      <c r="G55" s="32"/>
      <c r="H55" s="101"/>
      <c r="I55" s="101"/>
      <c r="J55" s="32"/>
      <c r="K55" s="101"/>
      <c r="L55" s="32"/>
      <c r="M55" s="32"/>
      <c r="N55" s="32"/>
      <c r="O55" s="32"/>
      <c r="P55" s="32"/>
      <c r="Q55" s="32"/>
      <c r="R55" s="33"/>
      <c r="U55" s="474" t="s">
        <v>278</v>
      </c>
      <c r="V55" s="476"/>
      <c r="W55" s="477"/>
      <c r="X55" s="477"/>
      <c r="Y55" s="475"/>
      <c r="Z55" s="475"/>
      <c r="AA55" s="475"/>
      <c r="AB55" s="475"/>
      <c r="AC55" s="484"/>
      <c r="AD55" s="475"/>
      <c r="AE55" s="484"/>
      <c r="AF55" s="555"/>
      <c r="AG55" s="555"/>
      <c r="AH55" s="592"/>
      <c r="AI55" s="555"/>
      <c r="AJ55" s="552"/>
    </row>
    <row r="56" spans="2:36" ht="15" customHeight="1">
      <c r="B56" s="300" t="s">
        <v>142</v>
      </c>
      <c r="C56" s="29"/>
      <c r="D56" s="32"/>
      <c r="E56" s="32"/>
      <c r="F56" s="32"/>
      <c r="G56" s="32"/>
      <c r="H56" s="101"/>
      <c r="I56" s="101"/>
      <c r="J56" s="32"/>
      <c r="K56" s="101"/>
      <c r="L56" s="32"/>
      <c r="M56" s="32"/>
      <c r="N56" s="32"/>
      <c r="O56" s="32"/>
      <c r="P56" s="32"/>
      <c r="Q56" s="32"/>
      <c r="R56" s="33"/>
      <c r="U56" s="389" t="s">
        <v>68</v>
      </c>
      <c r="V56" s="384"/>
      <c r="W56" s="30">
        <f>+(W10/V10-1)*100</f>
        <v>6.993865030674851</v>
      </c>
      <c r="X56" s="30">
        <f aca="true" t="shared" si="16" ref="X56:AC56">+(X10/W10-1)*100</f>
        <v>-9.025229357798171</v>
      </c>
      <c r="Y56" s="30">
        <f t="shared" si="16"/>
        <v>6.718769696205729</v>
      </c>
      <c r="Z56" s="30">
        <f t="shared" si="16"/>
        <v>8.823529411764696</v>
      </c>
      <c r="AA56" s="30">
        <f t="shared" si="16"/>
        <v>13.101052860089002</v>
      </c>
      <c r="AB56" s="30">
        <f t="shared" si="16"/>
        <v>2.4088291746640955</v>
      </c>
      <c r="AC56" s="30">
        <f t="shared" si="16"/>
        <v>0.6934682785118662</v>
      </c>
      <c r="AD56" s="30">
        <f aca="true" t="shared" si="17" ref="AD56:AF61">+(AD10/AC10-1)*100</f>
        <v>7.652916080929084</v>
      </c>
      <c r="AE56" s="136">
        <f aca="true" t="shared" si="18" ref="AE56:AJ56">+(AE10/AD10-1)*100</f>
        <v>3.6602338311732208</v>
      </c>
      <c r="AF56" s="30">
        <f t="shared" si="18"/>
        <v>-1.9816882180932915</v>
      </c>
      <c r="AG56" s="30">
        <f t="shared" si="18"/>
        <v>3.3970032511564607</v>
      </c>
      <c r="AH56" s="136">
        <f t="shared" si="18"/>
        <v>2.9218657493989886</v>
      </c>
      <c r="AI56" s="30">
        <f t="shared" si="18"/>
        <v>2.6937090019114818</v>
      </c>
      <c r="AJ56" s="31">
        <f t="shared" si="18"/>
        <v>8.870180885785395</v>
      </c>
    </row>
    <row r="57" spans="2:36" ht="15" customHeight="1">
      <c r="B57" s="300" t="s">
        <v>143</v>
      </c>
      <c r="C57" s="29">
        <f aca="true" t="shared" si="19" ref="C57:C65">+(D17/C17-1)*100</f>
        <v>12.269589353070964</v>
      </c>
      <c r="D57" s="32">
        <f aca="true" t="shared" si="20" ref="D57:R57">+(E17/D17-1)*100</f>
        <v>6.776545166402537</v>
      </c>
      <c r="E57" s="32">
        <f t="shared" si="20"/>
        <v>-5.800284967941105</v>
      </c>
      <c r="F57" s="32">
        <f t="shared" si="20"/>
        <v>4.499905464170917</v>
      </c>
      <c r="G57" s="32">
        <f t="shared" si="20"/>
        <v>2.7380736988118937</v>
      </c>
      <c r="H57" s="32">
        <f t="shared" si="20"/>
        <v>-2.0780745523921396</v>
      </c>
      <c r="I57" s="32">
        <f t="shared" si="20"/>
        <v>1.121035909118162</v>
      </c>
      <c r="J57" s="32">
        <f t="shared" si="20"/>
        <v>11.566279345506292</v>
      </c>
      <c r="K57" s="101">
        <f t="shared" si="20"/>
        <v>8.794303629310797</v>
      </c>
      <c r="L57" s="32">
        <f t="shared" si="20"/>
        <v>11.067695613949402</v>
      </c>
      <c r="M57" s="32">
        <f t="shared" si="20"/>
        <v>10.716798592788024</v>
      </c>
      <c r="N57" s="32">
        <f t="shared" si="20"/>
        <v>7.050085395400574</v>
      </c>
      <c r="O57" s="32">
        <f t="shared" si="20"/>
        <v>1.5694568121104258</v>
      </c>
      <c r="P57" s="32">
        <f t="shared" si="20"/>
        <v>9.936073059360728</v>
      </c>
      <c r="Q57" s="32">
        <f t="shared" si="20"/>
        <v>14.427645788336928</v>
      </c>
      <c r="R57" s="33">
        <f t="shared" si="20"/>
        <v>8.368905537648462</v>
      </c>
      <c r="U57" s="390" t="s">
        <v>69</v>
      </c>
      <c r="V57" s="385"/>
      <c r="W57" s="32">
        <f aca="true" t="shared" si="21" ref="W57:AC61">+(W11/V11-1)*100</f>
        <v>10.285053929121712</v>
      </c>
      <c r="X57" s="32">
        <f t="shared" si="21"/>
        <v>-1.0478519035976297</v>
      </c>
      <c r="Y57" s="32">
        <f t="shared" si="21"/>
        <v>-8.824567596187782</v>
      </c>
      <c r="Z57" s="32">
        <f t="shared" si="21"/>
        <v>-9.059233449477356</v>
      </c>
      <c r="AA57" s="32">
        <f t="shared" si="21"/>
        <v>2.809706257982114</v>
      </c>
      <c r="AB57" s="32">
        <f t="shared" si="21"/>
        <v>14.120082815735003</v>
      </c>
      <c r="AC57" s="32">
        <f t="shared" si="21"/>
        <v>26.34252539912916</v>
      </c>
      <c r="AD57" s="32">
        <f t="shared" si="17"/>
        <v>0.6061429101257065</v>
      </c>
      <c r="AE57" s="101">
        <f t="shared" si="17"/>
        <v>-12.437834180179063</v>
      </c>
      <c r="AF57" s="32">
        <f t="shared" si="17"/>
        <v>0.4335009644295118</v>
      </c>
      <c r="AG57" s="32">
        <f aca="true" t="shared" si="22" ref="AG57:AJ61">+(AG11/AF11-1)*100</f>
        <v>-20.57619562084557</v>
      </c>
      <c r="AH57" s="101">
        <f t="shared" si="22"/>
        <v>-12.475074601237301</v>
      </c>
      <c r="AI57" s="32">
        <f t="shared" si="22"/>
        <v>-1.6724519902131196</v>
      </c>
      <c r="AJ57" s="33">
        <f t="shared" si="22"/>
        <v>20.92867557195699</v>
      </c>
    </row>
    <row r="58" spans="2:36" ht="15" customHeight="1">
      <c r="B58" s="300" t="s">
        <v>74</v>
      </c>
      <c r="C58" s="29">
        <f t="shared" si="19"/>
        <v>10.765815760266385</v>
      </c>
      <c r="D58" s="32">
        <f aca="true" t="shared" si="23" ref="D58:H65">+(E18/D18-1)*100</f>
        <v>6.963927855711427</v>
      </c>
      <c r="E58" s="32">
        <f t="shared" si="23"/>
        <v>10.725995316159253</v>
      </c>
      <c r="F58" s="32">
        <f t="shared" si="23"/>
        <v>-0.8037225042301199</v>
      </c>
      <c r="G58" s="32">
        <f t="shared" si="23"/>
        <v>10.533049040511733</v>
      </c>
      <c r="H58" s="101">
        <f t="shared" si="23"/>
        <v>7.021604938271597</v>
      </c>
      <c r="I58" s="101">
        <f aca="true" t="shared" si="24" ref="I58:R65">+(J18/I18-1)*100</f>
        <v>10.382119682768565</v>
      </c>
      <c r="J58" s="32">
        <f t="shared" si="24"/>
        <v>13.520574787720463</v>
      </c>
      <c r="K58" s="101">
        <f t="shared" si="24"/>
        <v>11.075949367088601</v>
      </c>
      <c r="L58" s="32">
        <f t="shared" si="24"/>
        <v>12.198912198912183</v>
      </c>
      <c r="M58" s="32">
        <f t="shared" si="24"/>
        <v>14.242843951985229</v>
      </c>
      <c r="N58" s="32">
        <f t="shared" si="24"/>
        <v>8.284501919579723</v>
      </c>
      <c r="O58" s="32">
        <f t="shared" si="24"/>
        <v>2.5751072961373467</v>
      </c>
      <c r="P58" s="32">
        <f t="shared" si="24"/>
        <v>10.423867564125878</v>
      </c>
      <c r="Q58" s="32">
        <f t="shared" si="24"/>
        <v>9.390444810543652</v>
      </c>
      <c r="R58" s="33">
        <f t="shared" si="24"/>
        <v>10.557228915662664</v>
      </c>
      <c r="U58" s="390" t="s">
        <v>70</v>
      </c>
      <c r="V58" s="385"/>
      <c r="W58" s="32">
        <f t="shared" si="21"/>
        <v>33.9418526031102</v>
      </c>
      <c r="X58" s="32">
        <f t="shared" si="21"/>
        <v>17.264008076728942</v>
      </c>
      <c r="Y58" s="32">
        <f t="shared" si="21"/>
        <v>38.26947912182521</v>
      </c>
      <c r="Z58" s="32">
        <f t="shared" si="21"/>
        <v>40.00622665006226</v>
      </c>
      <c r="AA58" s="32">
        <f t="shared" si="21"/>
        <v>41.694462975316895</v>
      </c>
      <c r="AB58" s="32">
        <f t="shared" si="21"/>
        <v>25.643440050219702</v>
      </c>
      <c r="AC58" s="32">
        <f t="shared" si="21"/>
        <v>15.488383712215835</v>
      </c>
      <c r="AD58" s="32">
        <f t="shared" si="17"/>
        <v>17.32174875499448</v>
      </c>
      <c r="AE58" s="101">
        <f t="shared" si="17"/>
        <v>7.146202235572208</v>
      </c>
      <c r="AF58" s="32">
        <f t="shared" si="17"/>
        <v>4.9454599502496865</v>
      </c>
      <c r="AG58" s="32">
        <f t="shared" si="22"/>
        <v>0.29264051856412454</v>
      </c>
      <c r="AH58" s="101">
        <f t="shared" si="22"/>
        <v>35.10820843506532</v>
      </c>
      <c r="AI58" s="32">
        <f t="shared" si="22"/>
        <v>22.428301885718895</v>
      </c>
      <c r="AJ58" s="33">
        <f t="shared" si="22"/>
        <v>82.2834642762448</v>
      </c>
    </row>
    <row r="59" spans="2:36" ht="15" customHeight="1">
      <c r="B59" s="300" t="s">
        <v>75</v>
      </c>
      <c r="C59" s="29">
        <f t="shared" si="19"/>
        <v>10.021078517477623</v>
      </c>
      <c r="D59" s="32">
        <f t="shared" si="23"/>
        <v>14.624411271653237</v>
      </c>
      <c r="E59" s="32">
        <f t="shared" si="23"/>
        <v>6.664809527125826</v>
      </c>
      <c r="F59" s="32">
        <f t="shared" si="23"/>
        <v>12.548968399059813</v>
      </c>
      <c r="G59" s="32">
        <f t="shared" si="23"/>
        <v>2.5350968789882744</v>
      </c>
      <c r="H59" s="101">
        <f t="shared" si="23"/>
        <v>2.0198019801980216</v>
      </c>
      <c r="I59" s="101">
        <f t="shared" si="24"/>
        <v>10.85847382431233</v>
      </c>
      <c r="J59" s="32">
        <f t="shared" si="24"/>
        <v>14.872436218109053</v>
      </c>
      <c r="K59" s="101">
        <f t="shared" si="24"/>
        <v>11.827722858511525</v>
      </c>
      <c r="L59" s="32">
        <f t="shared" si="24"/>
        <v>13.746641224346746</v>
      </c>
      <c r="M59" s="32">
        <f t="shared" si="24"/>
        <v>17.001609093087744</v>
      </c>
      <c r="N59" s="32">
        <f t="shared" si="24"/>
        <v>15.458668617410387</v>
      </c>
      <c r="O59" s="32">
        <f t="shared" si="24"/>
        <v>8.190987885853307</v>
      </c>
      <c r="P59" s="32">
        <f t="shared" si="24"/>
        <v>14.549074724759903</v>
      </c>
      <c r="Q59" s="32">
        <f t="shared" si="24"/>
        <v>14.08355657348519</v>
      </c>
      <c r="R59" s="33">
        <f t="shared" si="24"/>
        <v>11.156521115652108</v>
      </c>
      <c r="U59" s="390" t="s">
        <v>71</v>
      </c>
      <c r="V59" s="385"/>
      <c r="W59" s="32">
        <f t="shared" si="21"/>
        <v>13.919793014230276</v>
      </c>
      <c r="X59" s="32">
        <f t="shared" si="21"/>
        <v>12.491483079718368</v>
      </c>
      <c r="Y59" s="32">
        <f t="shared" si="21"/>
        <v>4.916212396527353</v>
      </c>
      <c r="Z59" s="32">
        <f t="shared" si="21"/>
        <v>6.186856538054464</v>
      </c>
      <c r="AA59" s="32">
        <f t="shared" si="21"/>
        <v>15.399601304820587</v>
      </c>
      <c r="AB59" s="32">
        <f t="shared" si="21"/>
        <v>18.719327863059966</v>
      </c>
      <c r="AC59" s="32">
        <f t="shared" si="21"/>
        <v>9.05453222659478</v>
      </c>
      <c r="AD59" s="32">
        <f t="shared" si="17"/>
        <v>4.826964268691092</v>
      </c>
      <c r="AE59" s="101">
        <f t="shared" si="17"/>
        <v>3.4396993993657254</v>
      </c>
      <c r="AF59" s="32">
        <f t="shared" si="17"/>
        <v>5.3782584191785165</v>
      </c>
      <c r="AG59" s="32">
        <f t="shared" si="22"/>
        <v>1.2726449086015723</v>
      </c>
      <c r="AH59" s="101">
        <f t="shared" si="22"/>
        <v>0.4631001065249274</v>
      </c>
      <c r="AI59" s="32">
        <f t="shared" si="22"/>
        <v>-18.66664491963347</v>
      </c>
      <c r="AJ59" s="33">
        <f t="shared" si="22"/>
        <v>10.343823779453487</v>
      </c>
    </row>
    <row r="60" spans="2:36" ht="15" customHeight="1">
      <c r="B60" s="300" t="s">
        <v>76</v>
      </c>
      <c r="C60" s="29">
        <f t="shared" si="19"/>
        <v>5.785932721712528</v>
      </c>
      <c r="D60" s="32">
        <f t="shared" si="23"/>
        <v>12.476873265494914</v>
      </c>
      <c r="E60" s="32">
        <f t="shared" si="23"/>
        <v>5.294540968438377</v>
      </c>
      <c r="F60" s="32">
        <f t="shared" si="23"/>
        <v>9.67584456160906</v>
      </c>
      <c r="G60" s="32">
        <f t="shared" si="23"/>
        <v>-2.9288702928870203</v>
      </c>
      <c r="H60" s="101">
        <f t="shared" si="23"/>
        <v>-7.199192956713141</v>
      </c>
      <c r="I60" s="101">
        <f t="shared" si="24"/>
        <v>-7.164739598774583</v>
      </c>
      <c r="J60" s="32">
        <f t="shared" si="24"/>
        <v>-5.5780285288482006</v>
      </c>
      <c r="K60" s="101">
        <f t="shared" si="24"/>
        <v>16.39233370913191</v>
      </c>
      <c r="L60" s="32">
        <f t="shared" si="24"/>
        <v>14.984502130956967</v>
      </c>
      <c r="M60" s="32">
        <f t="shared" si="24"/>
        <v>19.172773987027213</v>
      </c>
      <c r="N60" s="32">
        <f t="shared" si="24"/>
        <v>14.130204283593685</v>
      </c>
      <c r="O60" s="32">
        <f t="shared" si="24"/>
        <v>2.898550724637694</v>
      </c>
      <c r="P60" s="32">
        <f t="shared" si="24"/>
        <v>5.609726736487297</v>
      </c>
      <c r="Q60" s="32">
        <f t="shared" si="24"/>
        <v>7.5173828792887365</v>
      </c>
      <c r="R60" s="33">
        <f t="shared" si="24"/>
        <v>10.241187384044515</v>
      </c>
      <c r="U60" s="390" t="s">
        <v>72</v>
      </c>
      <c r="V60" s="385"/>
      <c r="W60" s="32">
        <f t="shared" si="21"/>
        <v>32.83385476700149</v>
      </c>
      <c r="X60" s="32">
        <f t="shared" si="21"/>
        <v>-17.367050948307927</v>
      </c>
      <c r="Y60" s="32">
        <f t="shared" si="21"/>
        <v>5.970597059705973</v>
      </c>
      <c r="Z60" s="32">
        <f t="shared" si="21"/>
        <v>32.94167610419028</v>
      </c>
      <c r="AA60" s="32">
        <f t="shared" si="21"/>
        <v>-4.653391545096374</v>
      </c>
      <c r="AB60" s="32">
        <f t="shared" si="21"/>
        <v>10.531605986151437</v>
      </c>
      <c r="AC60" s="32">
        <f t="shared" si="21"/>
        <v>-12.771546933414179</v>
      </c>
      <c r="AD60" s="32">
        <f t="shared" si="17"/>
        <v>-1.0394114990020964</v>
      </c>
      <c r="AE60" s="101">
        <f t="shared" si="17"/>
        <v>14.802602005114874</v>
      </c>
      <c r="AF60" s="32">
        <f t="shared" si="17"/>
        <v>9.45718378648146</v>
      </c>
      <c r="AG60" s="32">
        <f t="shared" si="22"/>
        <v>4.404271045235264</v>
      </c>
      <c r="AH60" s="101">
        <f t="shared" si="22"/>
        <v>8.973008585077302</v>
      </c>
      <c r="AI60" s="32">
        <f t="shared" si="22"/>
        <v>-3.6669563899955238</v>
      </c>
      <c r="AJ60" s="33">
        <f t="shared" si="22"/>
        <v>9.331053024334457</v>
      </c>
    </row>
    <row r="61" spans="2:36" ht="15" customHeight="1">
      <c r="B61" s="300" t="s">
        <v>120</v>
      </c>
      <c r="C61" s="29">
        <f t="shared" si="19"/>
        <v>4.899686092534461</v>
      </c>
      <c r="D61" s="32">
        <f t="shared" si="23"/>
        <v>5.191256830601088</v>
      </c>
      <c r="E61" s="32">
        <f t="shared" si="23"/>
        <v>6.066790352504636</v>
      </c>
      <c r="F61" s="32">
        <f t="shared" si="23"/>
        <v>3.5857967465454</v>
      </c>
      <c r="G61" s="32">
        <f t="shared" si="23"/>
        <v>-61.13362602724305</v>
      </c>
      <c r="H61" s="101">
        <f t="shared" si="23"/>
        <v>3.910209992758862</v>
      </c>
      <c r="I61" s="101">
        <f t="shared" si="24"/>
        <v>5.073170731707322</v>
      </c>
      <c r="J61" s="32">
        <f t="shared" si="24"/>
        <v>10.744130521289286</v>
      </c>
      <c r="K61" s="101">
        <f t="shared" si="24"/>
        <v>7.6775661755899005</v>
      </c>
      <c r="L61" s="32">
        <f t="shared" si="24"/>
        <v>5.383759733036708</v>
      </c>
      <c r="M61" s="32">
        <f t="shared" si="24"/>
        <v>9.75300823305889</v>
      </c>
      <c r="N61" s="32">
        <f t="shared" si="24"/>
        <v>3.5487593768032344</v>
      </c>
      <c r="O61" s="32">
        <f t="shared" si="24"/>
        <v>-2.4054982817869552</v>
      </c>
      <c r="P61" s="32">
        <f t="shared" si="24"/>
        <v>5.481537875904086</v>
      </c>
      <c r="Q61" s="32">
        <f t="shared" si="24"/>
        <v>9.058101768314675</v>
      </c>
      <c r="R61" s="33">
        <f t="shared" si="24"/>
        <v>7.792852415618801</v>
      </c>
      <c r="U61" s="390" t="s">
        <v>73</v>
      </c>
      <c r="V61" s="385"/>
      <c r="W61" s="32">
        <f t="shared" si="21"/>
        <v>47.901798458464185</v>
      </c>
      <c r="X61" s="32">
        <f t="shared" si="21"/>
        <v>8.709708550472882</v>
      </c>
      <c r="Y61" s="32">
        <f t="shared" si="21"/>
        <v>7.026499178836154</v>
      </c>
      <c r="Z61" s="32">
        <f t="shared" si="21"/>
        <v>26.84140676841409</v>
      </c>
      <c r="AA61" s="32">
        <f t="shared" si="21"/>
        <v>39.07598744441538</v>
      </c>
      <c r="AB61" s="32">
        <f t="shared" si="21"/>
        <v>44.75373222052428</v>
      </c>
      <c r="AC61" s="32">
        <f t="shared" si="21"/>
        <v>22.887398288155136</v>
      </c>
      <c r="AD61" s="32">
        <f t="shared" si="17"/>
        <v>14.887767441668466</v>
      </c>
      <c r="AE61" s="101">
        <f t="shared" si="17"/>
        <v>12.896523851793361</v>
      </c>
      <c r="AF61" s="32">
        <f t="shared" si="17"/>
        <v>13.511399146409264</v>
      </c>
      <c r="AG61" s="32">
        <f t="shared" si="22"/>
        <v>6.461071259767515</v>
      </c>
      <c r="AH61" s="101">
        <f t="shared" si="22"/>
        <v>1.309115155752738</v>
      </c>
      <c r="AI61" s="32">
        <f t="shared" si="22"/>
        <v>-49.76123514663009</v>
      </c>
      <c r="AJ61" s="33">
        <f t="shared" si="22"/>
        <v>39.4959336563929</v>
      </c>
    </row>
    <row r="62" spans="2:36" ht="15" customHeight="1">
      <c r="B62" s="300" t="s">
        <v>47</v>
      </c>
      <c r="C62" s="29">
        <f t="shared" si="19"/>
        <v>0.8000000000000007</v>
      </c>
      <c r="D62" s="32">
        <f t="shared" si="23"/>
        <v>0.92592592592593</v>
      </c>
      <c r="E62" s="32">
        <f t="shared" si="23"/>
        <v>1.0484927916120546</v>
      </c>
      <c r="F62" s="32">
        <f t="shared" si="23"/>
        <v>3.6316472114137577</v>
      </c>
      <c r="G62" s="32">
        <f t="shared" si="23"/>
        <v>3.1289111389236623</v>
      </c>
      <c r="H62" s="101">
        <f t="shared" si="23"/>
        <v>2.9126213592232997</v>
      </c>
      <c r="I62" s="101">
        <f t="shared" si="24"/>
        <v>4.599056603773599</v>
      </c>
      <c r="J62" s="32">
        <f t="shared" si="24"/>
        <v>4.6223224351747305</v>
      </c>
      <c r="K62" s="101">
        <f t="shared" si="24"/>
        <v>4.418103448275867</v>
      </c>
      <c r="L62" s="32">
        <f t="shared" si="24"/>
        <v>9.287925696594424</v>
      </c>
      <c r="M62" s="32">
        <f t="shared" si="24"/>
        <v>7.082152974504252</v>
      </c>
      <c r="N62" s="32">
        <f t="shared" si="24"/>
        <v>7.407407407407396</v>
      </c>
      <c r="O62" s="32">
        <f t="shared" si="24"/>
        <v>11.33004926108374</v>
      </c>
      <c r="P62" s="32">
        <f t="shared" si="24"/>
        <v>5.825958702064904</v>
      </c>
      <c r="Q62" s="32">
        <f t="shared" si="24"/>
        <v>4.738675958188154</v>
      </c>
      <c r="R62" s="33">
        <f t="shared" si="24"/>
        <v>4.3246839654025315</v>
      </c>
      <c r="U62" s="390" t="s">
        <v>141</v>
      </c>
      <c r="V62" s="385"/>
      <c r="W62" s="32"/>
      <c r="X62" s="32"/>
      <c r="Y62" s="32"/>
      <c r="Z62" s="32"/>
      <c r="AA62" s="32"/>
      <c r="AB62" s="32"/>
      <c r="AC62" s="32"/>
      <c r="AD62" s="32"/>
      <c r="AE62" s="101"/>
      <c r="AF62" s="32"/>
      <c r="AG62" s="32"/>
      <c r="AH62" s="101"/>
      <c r="AI62" s="32"/>
      <c r="AJ62" s="33"/>
    </row>
    <row r="63" spans="2:36" ht="15" customHeight="1">
      <c r="B63" s="300" t="s">
        <v>78</v>
      </c>
      <c r="C63" s="29">
        <f t="shared" si="19"/>
        <v>23.42342342342343</v>
      </c>
      <c r="D63" s="32">
        <f t="shared" si="23"/>
        <v>5.748175182481763</v>
      </c>
      <c r="E63" s="32">
        <f t="shared" si="23"/>
        <v>17.083692838653985</v>
      </c>
      <c r="F63" s="32">
        <f t="shared" si="23"/>
        <v>-1.9896831245394209</v>
      </c>
      <c r="G63" s="32">
        <f t="shared" si="23"/>
        <v>-15.864661654135336</v>
      </c>
      <c r="H63" s="101">
        <f t="shared" si="23"/>
        <v>6.076854334226978</v>
      </c>
      <c r="I63" s="101">
        <f t="shared" si="24"/>
        <v>3.5383319292333626</v>
      </c>
      <c r="J63" s="32">
        <f t="shared" si="24"/>
        <v>5.370219690805533</v>
      </c>
      <c r="K63" s="101">
        <f t="shared" si="24"/>
        <v>3.706563706563726</v>
      </c>
      <c r="L63" s="32">
        <f t="shared" si="24"/>
        <v>2.6061057334326065</v>
      </c>
      <c r="M63" s="32">
        <f t="shared" si="24"/>
        <v>12.917271407837427</v>
      </c>
      <c r="N63" s="32">
        <f t="shared" si="24"/>
        <v>5.334190231362479</v>
      </c>
      <c r="O63" s="32">
        <f t="shared" si="24"/>
        <v>4.881025015253204</v>
      </c>
      <c r="P63" s="32">
        <f t="shared" si="24"/>
        <v>9.714950552646883</v>
      </c>
      <c r="Q63" s="32">
        <f t="shared" si="24"/>
        <v>4.241781548250256</v>
      </c>
      <c r="R63" s="33">
        <f t="shared" si="24"/>
        <v>5.849440488301116</v>
      </c>
      <c r="U63" s="390" t="s">
        <v>142</v>
      </c>
      <c r="V63" s="385"/>
      <c r="W63" s="32"/>
      <c r="X63" s="32"/>
      <c r="Y63" s="32"/>
      <c r="Z63" s="32"/>
      <c r="AA63" s="32"/>
      <c r="AB63" s="32"/>
      <c r="AC63" s="32"/>
      <c r="AD63" s="32"/>
      <c r="AE63" s="101"/>
      <c r="AF63" s="32"/>
      <c r="AG63" s="32"/>
      <c r="AH63" s="101"/>
      <c r="AI63" s="32"/>
      <c r="AJ63" s="33"/>
    </row>
    <row r="64" spans="2:36" ht="15" customHeight="1">
      <c r="B64" s="300" t="s">
        <v>121</v>
      </c>
      <c r="C64" s="29">
        <f t="shared" si="19"/>
        <v>11.241970021413273</v>
      </c>
      <c r="D64" s="32">
        <f t="shared" si="23"/>
        <v>10.587102983638118</v>
      </c>
      <c r="E64" s="32">
        <f t="shared" si="23"/>
        <v>10.095735422106177</v>
      </c>
      <c r="F64" s="32">
        <f t="shared" si="23"/>
        <v>-7.694334650856383</v>
      </c>
      <c r="G64" s="32">
        <f t="shared" si="23"/>
        <v>5.309734513274322</v>
      </c>
      <c r="H64" s="101">
        <f t="shared" si="23"/>
        <v>5.285985361886691</v>
      </c>
      <c r="I64" s="101">
        <f t="shared" si="24"/>
        <v>1.6477857878475888</v>
      </c>
      <c r="J64" s="32">
        <f t="shared" si="24"/>
        <v>3.92603850050659</v>
      </c>
      <c r="K64" s="101">
        <f t="shared" si="24"/>
        <v>4.021447721179627</v>
      </c>
      <c r="L64" s="32">
        <f t="shared" si="24"/>
        <v>5.060918462980313</v>
      </c>
      <c r="M64" s="32">
        <f t="shared" si="24"/>
        <v>14.429081177520086</v>
      </c>
      <c r="N64" s="32">
        <f t="shared" si="24"/>
        <v>6.8602611576690675</v>
      </c>
      <c r="O64" s="32">
        <f t="shared" si="24"/>
        <v>4.960787889841334</v>
      </c>
      <c r="P64" s="32">
        <f t="shared" si="24"/>
        <v>5.838401390095571</v>
      </c>
      <c r="Q64" s="32">
        <f t="shared" si="24"/>
        <v>8.865539320308645</v>
      </c>
      <c r="R64" s="33">
        <f t="shared" si="24"/>
        <v>10.601719197707737</v>
      </c>
      <c r="U64" s="390" t="s">
        <v>143</v>
      </c>
      <c r="V64" s="385"/>
      <c r="W64" s="32">
        <f aca="true" t="shared" si="25" ref="W64:AC72">+(W18/V18-1)*100</f>
        <v>21.27130305917222</v>
      </c>
      <c r="X64" s="32">
        <f t="shared" si="25"/>
        <v>13.424693405490329</v>
      </c>
      <c r="Y64" s="32">
        <f t="shared" si="25"/>
        <v>11.641463696179134</v>
      </c>
      <c r="Z64" s="32">
        <f t="shared" si="25"/>
        <v>34.656809526271346</v>
      </c>
      <c r="AA64" s="32">
        <f t="shared" si="25"/>
        <v>22.52751471717429</v>
      </c>
      <c r="AB64" s="32">
        <f t="shared" si="25"/>
        <v>1.4632923555769173</v>
      </c>
      <c r="AC64" s="32">
        <f t="shared" si="25"/>
        <v>5.365230997282389</v>
      </c>
      <c r="AD64" s="32">
        <f aca="true" t="shared" si="26" ref="AD64:AJ71">+(AD18/AC18-1)*100</f>
        <v>3.1392798888790097</v>
      </c>
      <c r="AE64" s="101">
        <f t="shared" si="26"/>
        <v>4.158934657633506</v>
      </c>
      <c r="AF64" s="32">
        <f t="shared" si="26"/>
        <v>4.3454089933603335</v>
      </c>
      <c r="AG64" s="32">
        <f t="shared" si="26"/>
        <v>5.372045118877966</v>
      </c>
      <c r="AH64" s="101">
        <f t="shared" si="26"/>
        <v>1.6286097711180059</v>
      </c>
      <c r="AI64" s="32">
        <f t="shared" si="26"/>
        <v>-19.957707523278458</v>
      </c>
      <c r="AJ64" s="33">
        <f t="shared" si="26"/>
        <v>17.482122651055644</v>
      </c>
    </row>
    <row r="65" spans="2:36" ht="15" customHeight="1">
      <c r="B65" s="300" t="s">
        <v>4</v>
      </c>
      <c r="C65" s="29">
        <f t="shared" si="19"/>
        <v>4.540379605507994</v>
      </c>
      <c r="D65" s="32">
        <f t="shared" si="23"/>
        <v>11.356354574581706</v>
      </c>
      <c r="E65" s="32">
        <f t="shared" si="23"/>
        <v>19.533248081841425</v>
      </c>
      <c r="F65" s="32">
        <f t="shared" si="23"/>
        <v>11.366675581706343</v>
      </c>
      <c r="G65" s="32">
        <f t="shared" si="23"/>
        <v>-11.38328530259366</v>
      </c>
      <c r="H65" s="101">
        <f t="shared" si="23"/>
        <v>-21.89701897018971</v>
      </c>
      <c r="I65" s="101">
        <f t="shared" si="24"/>
        <v>4.163775156141569</v>
      </c>
      <c r="J65" s="32">
        <f t="shared" si="24"/>
        <v>-12.558294470353093</v>
      </c>
      <c r="K65" s="101">
        <f t="shared" si="24"/>
        <v>10.095238095238091</v>
      </c>
      <c r="L65" s="32">
        <f t="shared" si="24"/>
        <v>29.515570934256054</v>
      </c>
      <c r="M65" s="32">
        <f t="shared" si="24"/>
        <v>1.4694095645204408</v>
      </c>
      <c r="N65" s="32">
        <f t="shared" si="24"/>
        <v>6.345444971037373</v>
      </c>
      <c r="O65" s="32">
        <f t="shared" si="24"/>
        <v>6.585788561525141</v>
      </c>
      <c r="P65" s="32">
        <f t="shared" si="24"/>
        <v>3.7630662020905925</v>
      </c>
      <c r="Q65" s="32">
        <f t="shared" si="24"/>
        <v>5.283187821804347</v>
      </c>
      <c r="R65" s="33">
        <f t="shared" si="24"/>
        <v>6.889219647033795</v>
      </c>
      <c r="U65" s="390" t="s">
        <v>74</v>
      </c>
      <c r="V65" s="385"/>
      <c r="W65" s="32">
        <f t="shared" si="25"/>
        <v>19.100941252839966</v>
      </c>
      <c r="X65" s="32">
        <f t="shared" si="25"/>
        <v>13.966480446927365</v>
      </c>
      <c r="Y65" s="32">
        <f t="shared" si="25"/>
        <v>17.77857484457197</v>
      </c>
      <c r="Z65" s="32">
        <f t="shared" si="25"/>
        <v>24.25134504111257</v>
      </c>
      <c r="AA65" s="32">
        <f t="shared" si="25"/>
        <v>26.08660130718954</v>
      </c>
      <c r="AB65" s="32">
        <f t="shared" si="25"/>
        <v>4.3348668437763305</v>
      </c>
      <c r="AC65" s="32">
        <f t="shared" si="25"/>
        <v>13.718792696559422</v>
      </c>
      <c r="AD65" s="32">
        <f t="shared" si="26"/>
        <v>18.02885231333804</v>
      </c>
      <c r="AE65" s="101">
        <f t="shared" si="26"/>
        <v>9.933041664682584</v>
      </c>
      <c r="AF65" s="32">
        <f t="shared" si="26"/>
        <v>3.539631734642845</v>
      </c>
      <c r="AG65" s="32">
        <f t="shared" si="26"/>
        <v>0.2616027714098301</v>
      </c>
      <c r="AH65" s="101">
        <f t="shared" si="26"/>
        <v>-0.8676211257578448</v>
      </c>
      <c r="AI65" s="32">
        <f t="shared" si="26"/>
        <v>-53.84800725488039</v>
      </c>
      <c r="AJ65" s="33">
        <f t="shared" si="26"/>
        <v>2.083577106575518</v>
      </c>
    </row>
    <row r="66" spans="2:36" ht="15" customHeight="1">
      <c r="B66" s="300"/>
      <c r="C66" s="29"/>
      <c r="D66" s="32"/>
      <c r="E66" s="32"/>
      <c r="F66" s="32"/>
      <c r="G66" s="101"/>
      <c r="H66" s="101"/>
      <c r="I66" s="176"/>
      <c r="J66" s="213"/>
      <c r="K66" s="176"/>
      <c r="L66" s="213"/>
      <c r="M66" s="213"/>
      <c r="N66" s="213"/>
      <c r="O66" s="213"/>
      <c r="P66" s="213"/>
      <c r="Q66" s="213"/>
      <c r="R66" s="139"/>
      <c r="U66" s="390" t="s">
        <v>75</v>
      </c>
      <c r="V66" s="385"/>
      <c r="W66" s="32">
        <f t="shared" si="25"/>
        <v>12.981567468692834</v>
      </c>
      <c r="X66" s="32">
        <f t="shared" si="25"/>
        <v>4.597987446448126</v>
      </c>
      <c r="Y66" s="32">
        <f t="shared" si="25"/>
        <v>4.224413011382588</v>
      </c>
      <c r="Z66" s="32">
        <f t="shared" si="25"/>
        <v>17.574483641016258</v>
      </c>
      <c r="AA66" s="32">
        <f t="shared" si="25"/>
        <v>8.46871356393315</v>
      </c>
      <c r="AB66" s="32">
        <f t="shared" si="25"/>
        <v>1.2057042531083306</v>
      </c>
      <c r="AC66" s="32">
        <f t="shared" si="25"/>
        <v>4.218371067957705</v>
      </c>
      <c r="AD66" s="32">
        <f t="shared" si="26"/>
        <v>8.534950031208876</v>
      </c>
      <c r="AE66" s="101">
        <f t="shared" si="26"/>
        <v>1.9997721199246365</v>
      </c>
      <c r="AF66" s="32">
        <f t="shared" si="26"/>
        <v>8.350072882232396</v>
      </c>
      <c r="AG66" s="32">
        <f t="shared" si="26"/>
        <v>4.707046387647162</v>
      </c>
      <c r="AH66" s="101">
        <f t="shared" si="26"/>
        <v>6.907001295258319</v>
      </c>
      <c r="AI66" s="32">
        <f t="shared" si="26"/>
        <v>-10.578666886260745</v>
      </c>
      <c r="AJ66" s="33">
        <f t="shared" si="26"/>
        <v>13.239681289539472</v>
      </c>
    </row>
    <row r="67" spans="2:36" ht="15" customHeight="1">
      <c r="B67" s="301" t="s">
        <v>147</v>
      </c>
      <c r="C67" s="16">
        <f aca="true" t="shared" si="27" ref="C67:R67">+(D27/C27-1)*100</f>
        <v>7.756258234519131</v>
      </c>
      <c r="D67" s="17">
        <f t="shared" si="27"/>
        <v>7.556213090099861</v>
      </c>
      <c r="E67" s="17">
        <f t="shared" si="27"/>
        <v>4.36527334113932</v>
      </c>
      <c r="F67" s="17">
        <f t="shared" si="27"/>
        <v>3.9811779058241514</v>
      </c>
      <c r="G67" s="17">
        <f t="shared" si="27"/>
        <v>-11.927259014057956</v>
      </c>
      <c r="H67" s="137">
        <f t="shared" si="27"/>
        <v>1.0383462581473824</v>
      </c>
      <c r="I67" s="137">
        <f t="shared" si="27"/>
        <v>4.941788602573327</v>
      </c>
      <c r="J67" s="17">
        <f t="shared" si="27"/>
        <v>8.62283643869115</v>
      </c>
      <c r="K67" s="137">
        <f t="shared" si="27"/>
        <v>8.040564264617789</v>
      </c>
      <c r="L67" s="17">
        <f t="shared" si="27"/>
        <v>9.582297839801202</v>
      </c>
      <c r="M67" s="17">
        <f t="shared" si="27"/>
        <v>13.044615988486207</v>
      </c>
      <c r="N67" s="17">
        <f t="shared" si="27"/>
        <v>11.402006172839485</v>
      </c>
      <c r="O67" s="17">
        <f t="shared" si="27"/>
        <v>2.9547642630058712</v>
      </c>
      <c r="P67" s="17">
        <f t="shared" si="27"/>
        <v>7.6956197062761245</v>
      </c>
      <c r="Q67" s="17">
        <f t="shared" si="27"/>
        <v>11.36604989942651</v>
      </c>
      <c r="R67" s="18">
        <f t="shared" si="27"/>
        <v>11.25663994794619</v>
      </c>
      <c r="U67" s="390" t="s">
        <v>76</v>
      </c>
      <c r="V67" s="385"/>
      <c r="W67" s="32">
        <f t="shared" si="25"/>
        <v>15.497926595283772</v>
      </c>
      <c r="X67" s="32">
        <f t="shared" si="25"/>
        <v>19.76314238250898</v>
      </c>
      <c r="Y67" s="32">
        <f t="shared" si="25"/>
        <v>1.6421316389994889</v>
      </c>
      <c r="Z67" s="32">
        <f t="shared" si="25"/>
        <v>9.143335094206728</v>
      </c>
      <c r="AA67" s="32">
        <f t="shared" si="25"/>
        <v>15.560843786552647</v>
      </c>
      <c r="AB67" s="32">
        <f t="shared" si="25"/>
        <v>1.7416495061254533</v>
      </c>
      <c r="AC67" s="32">
        <f t="shared" si="25"/>
        <v>8.075471698113201</v>
      </c>
      <c r="AD67" s="32">
        <f t="shared" si="26"/>
        <v>8.236330489872113</v>
      </c>
      <c r="AE67" s="101">
        <f t="shared" si="26"/>
        <v>6.8074854918851235</v>
      </c>
      <c r="AF67" s="32">
        <f t="shared" si="26"/>
        <v>9.032546063623448</v>
      </c>
      <c r="AG67" s="32">
        <f t="shared" si="26"/>
        <v>1.845997887702877</v>
      </c>
      <c r="AH67" s="101">
        <f t="shared" si="26"/>
        <v>1.0621913899776292</v>
      </c>
      <c r="AI67" s="32">
        <f t="shared" si="26"/>
        <v>-4.768679272552944</v>
      </c>
      <c r="AJ67" s="33">
        <f t="shared" si="26"/>
        <v>5.58969402886611</v>
      </c>
    </row>
    <row r="68" spans="2:36" ht="15" customHeight="1">
      <c r="B68" s="301"/>
      <c r="C68" s="16"/>
      <c r="D68" s="17"/>
      <c r="E68" s="17"/>
      <c r="F68" s="17"/>
      <c r="G68" s="17"/>
      <c r="H68" s="137"/>
      <c r="I68" s="137"/>
      <c r="J68" s="17"/>
      <c r="K68" s="137"/>
      <c r="L68" s="17"/>
      <c r="M68" s="17"/>
      <c r="N68" s="17"/>
      <c r="O68" s="17"/>
      <c r="P68" s="17"/>
      <c r="Q68" s="17"/>
      <c r="R68" s="18"/>
      <c r="U68" s="390" t="s">
        <v>120</v>
      </c>
      <c r="V68" s="385"/>
      <c r="W68" s="32">
        <f t="shared" si="25"/>
        <v>16.497573886193194</v>
      </c>
      <c r="X68" s="32">
        <f t="shared" si="25"/>
        <v>8.74127765456807</v>
      </c>
      <c r="Y68" s="32">
        <f t="shared" si="25"/>
        <v>17.45510620305426</v>
      </c>
      <c r="Z68" s="32">
        <f t="shared" si="25"/>
        <v>14.407928172115891</v>
      </c>
      <c r="AA68" s="32">
        <f t="shared" si="25"/>
        <v>14.577626415932476</v>
      </c>
      <c r="AB68" s="32">
        <f t="shared" si="25"/>
        <v>11.146291031274224</v>
      </c>
      <c r="AC68" s="32">
        <f t="shared" si="25"/>
        <v>10.226149642462644</v>
      </c>
      <c r="AD68" s="32">
        <f t="shared" si="26"/>
        <v>7.48497273272426</v>
      </c>
      <c r="AE68" s="101">
        <f t="shared" si="26"/>
        <v>4.047643891538866</v>
      </c>
      <c r="AF68" s="32">
        <f t="shared" si="26"/>
        <v>3.126640701523198</v>
      </c>
      <c r="AG68" s="32">
        <f t="shared" si="26"/>
        <v>2.8849669819672075</v>
      </c>
      <c r="AH68" s="101">
        <f t="shared" si="26"/>
        <v>1.3014582181945844</v>
      </c>
      <c r="AI68" s="32">
        <f t="shared" si="26"/>
        <v>-26.5786376321138</v>
      </c>
      <c r="AJ68" s="33">
        <f t="shared" si="26"/>
        <v>13.221819782038402</v>
      </c>
    </row>
    <row r="69" spans="2:36" ht="15" customHeight="1">
      <c r="B69" s="300" t="s">
        <v>73</v>
      </c>
      <c r="C69" s="29"/>
      <c r="D69" s="32"/>
      <c r="E69" s="32"/>
      <c r="F69" s="32"/>
      <c r="G69" s="32"/>
      <c r="H69" s="101">
        <f aca="true" t="shared" si="28" ref="H69:R71">+(I29/H29-1)*100</f>
        <v>-4.651162790697672</v>
      </c>
      <c r="I69" s="101">
        <f t="shared" si="28"/>
        <v>4.471544715447151</v>
      </c>
      <c r="J69" s="101">
        <f t="shared" si="28"/>
        <v>5.058365758754868</v>
      </c>
      <c r="K69" s="101">
        <f t="shared" si="28"/>
        <v>2.9629629629629672</v>
      </c>
      <c r="L69" s="32">
        <f t="shared" si="28"/>
        <v>17.985611510791344</v>
      </c>
      <c r="M69" s="32">
        <f t="shared" si="28"/>
        <v>15.54878048780488</v>
      </c>
      <c r="N69" s="32">
        <f t="shared" si="28"/>
        <v>19.525065963060673</v>
      </c>
      <c r="O69" s="32">
        <f t="shared" si="28"/>
        <v>0.8830022075055233</v>
      </c>
      <c r="P69" s="32">
        <f t="shared" si="28"/>
        <v>1.5317286652078765</v>
      </c>
      <c r="Q69" s="32">
        <f t="shared" si="28"/>
        <v>11.422413793103448</v>
      </c>
      <c r="R69" s="33">
        <f t="shared" si="28"/>
        <v>21.85686653771759</v>
      </c>
      <c r="U69" s="390" t="s">
        <v>47</v>
      </c>
      <c r="V69" s="385"/>
      <c r="W69" s="32">
        <f t="shared" si="25"/>
        <v>7.6811594202898625</v>
      </c>
      <c r="X69" s="32">
        <f t="shared" si="25"/>
        <v>18.079856437864493</v>
      </c>
      <c r="Y69" s="32">
        <f t="shared" si="25"/>
        <v>14.665653495440733</v>
      </c>
      <c r="Z69" s="32">
        <f t="shared" si="25"/>
        <v>4.340622929092097</v>
      </c>
      <c r="AA69" s="32">
        <f t="shared" si="25"/>
        <v>15.433470943156568</v>
      </c>
      <c r="AB69" s="32">
        <f t="shared" si="25"/>
        <v>6.877579092159558</v>
      </c>
      <c r="AC69" s="32">
        <f t="shared" si="25"/>
        <v>10.218790218790218</v>
      </c>
      <c r="AD69" s="32">
        <f t="shared" si="26"/>
        <v>9.777914590044755</v>
      </c>
      <c r="AE69" s="101">
        <f t="shared" si="26"/>
        <v>14.234954072619189</v>
      </c>
      <c r="AF69" s="32">
        <f t="shared" si="26"/>
        <v>8.176385558712784</v>
      </c>
      <c r="AG69" s="32">
        <f t="shared" si="26"/>
        <v>11.535765682802722</v>
      </c>
      <c r="AH69" s="101">
        <f t="shared" si="26"/>
        <v>4.258670432127376</v>
      </c>
      <c r="AI69" s="32">
        <f t="shared" si="26"/>
        <v>-21.795627800308083</v>
      </c>
      <c r="AJ69" s="33">
        <f t="shared" si="26"/>
        <v>-2.740079618796254</v>
      </c>
    </row>
    <row r="70" spans="2:36" ht="15" customHeight="1">
      <c r="B70" s="300" t="s">
        <v>145</v>
      </c>
      <c r="C70" s="29">
        <f aca="true" t="shared" si="29" ref="C70:G71">+(D30/C30-1)*100</f>
        <v>-0.8894536213468918</v>
      </c>
      <c r="D70" s="32">
        <f t="shared" si="29"/>
        <v>2.504930966469443</v>
      </c>
      <c r="E70" s="32">
        <f t="shared" si="29"/>
        <v>0.8081585530113289</v>
      </c>
      <c r="F70" s="32">
        <f t="shared" si="29"/>
        <v>1.8324107654132504</v>
      </c>
      <c r="G70" s="32">
        <f t="shared" si="29"/>
        <v>3.458294283036567</v>
      </c>
      <c r="H70" s="101">
        <f t="shared" si="28"/>
        <v>4.176102907872092</v>
      </c>
      <c r="I70" s="101">
        <f t="shared" si="28"/>
        <v>4.495652173913056</v>
      </c>
      <c r="J70" s="32">
        <f t="shared" si="28"/>
        <v>5.533827078305742</v>
      </c>
      <c r="K70" s="101">
        <f t="shared" si="28"/>
        <v>7.112442832360832</v>
      </c>
      <c r="L70" s="32">
        <f t="shared" si="28"/>
        <v>7.030329799764434</v>
      </c>
      <c r="M70" s="32">
        <f t="shared" si="28"/>
        <v>7.847857486759735</v>
      </c>
      <c r="N70" s="32">
        <f t="shared" si="28"/>
        <v>9.623724489795915</v>
      </c>
      <c r="O70" s="32">
        <f t="shared" si="28"/>
        <v>10.35545988713713</v>
      </c>
      <c r="P70" s="32">
        <f t="shared" si="28"/>
        <v>7.675681374874799</v>
      </c>
      <c r="Q70" s="32">
        <f t="shared" si="28"/>
        <v>7.045287637698894</v>
      </c>
      <c r="R70" s="33">
        <f t="shared" si="28"/>
        <v>6.727954628613242</v>
      </c>
      <c r="U70" s="390" t="s">
        <v>144</v>
      </c>
      <c r="V70" s="385"/>
      <c r="W70" s="32">
        <f t="shared" si="25"/>
        <v>0.7532281205164804</v>
      </c>
      <c r="X70" s="32">
        <f t="shared" si="25"/>
        <v>8.29476682093273</v>
      </c>
      <c r="Y70" s="32">
        <f t="shared" si="25"/>
        <v>13.346482577251816</v>
      </c>
      <c r="Z70" s="32">
        <f t="shared" si="25"/>
        <v>3.335266821345706</v>
      </c>
      <c r="AA70" s="32">
        <f t="shared" si="25"/>
        <v>8.3356721863598</v>
      </c>
      <c r="AB70" s="32">
        <f t="shared" si="25"/>
        <v>13.108808290155437</v>
      </c>
      <c r="AC70" s="32">
        <f t="shared" si="25"/>
        <v>9.642693540998625</v>
      </c>
      <c r="AD70" s="32">
        <f t="shared" si="26"/>
        <v>13.39684597696198</v>
      </c>
      <c r="AE70" s="101">
        <f t="shared" si="26"/>
        <v>6.14747378647702</v>
      </c>
      <c r="AF70" s="32">
        <f t="shared" si="26"/>
        <v>6.727686857581694</v>
      </c>
      <c r="AG70" s="32">
        <f t="shared" si="26"/>
        <v>8.999146326678353</v>
      </c>
      <c r="AH70" s="101">
        <f t="shared" si="26"/>
        <v>5.848355671550087</v>
      </c>
      <c r="AI70" s="32">
        <f t="shared" si="26"/>
        <v>9.273554484540458</v>
      </c>
      <c r="AJ70" s="33">
        <f t="shared" si="26"/>
        <v>3.6001843235201614</v>
      </c>
    </row>
    <row r="71" spans="2:36" ht="15" customHeight="1">
      <c r="B71" s="300" t="s">
        <v>79</v>
      </c>
      <c r="C71" s="29">
        <f t="shared" si="29"/>
        <v>4.979811574697179</v>
      </c>
      <c r="D71" s="32">
        <f t="shared" si="29"/>
        <v>2.179487179487194</v>
      </c>
      <c r="E71" s="32">
        <f t="shared" si="29"/>
        <v>-2.885821831869506</v>
      </c>
      <c r="F71" s="32">
        <f t="shared" si="29"/>
        <v>2.9715762273901714</v>
      </c>
      <c r="G71" s="32">
        <f t="shared" si="29"/>
        <v>5.771643663739012</v>
      </c>
      <c r="H71" s="101">
        <f t="shared" si="28"/>
        <v>10.438908659549217</v>
      </c>
      <c r="I71" s="101">
        <f t="shared" si="28"/>
        <v>2.148227712137496</v>
      </c>
      <c r="J71" s="32">
        <f t="shared" si="28"/>
        <v>7.991587802313371</v>
      </c>
      <c r="K71" s="101">
        <f t="shared" si="28"/>
        <v>1.7526777020447915</v>
      </c>
      <c r="L71" s="32">
        <f t="shared" si="28"/>
        <v>6.507177033492817</v>
      </c>
      <c r="M71" s="32">
        <f t="shared" si="28"/>
        <v>1.1680143755615324</v>
      </c>
      <c r="N71" s="32">
        <f t="shared" si="28"/>
        <v>1.8650088809946785</v>
      </c>
      <c r="O71" s="32">
        <f t="shared" si="28"/>
        <v>-0.7846556233653046</v>
      </c>
      <c r="P71" s="32">
        <f t="shared" si="28"/>
        <v>1.493848857644986</v>
      </c>
      <c r="Q71" s="32">
        <f t="shared" si="28"/>
        <v>3.463203463203457</v>
      </c>
      <c r="R71" s="33">
        <f t="shared" si="28"/>
        <v>5.523012552301254</v>
      </c>
      <c r="U71" s="390" t="s">
        <v>121</v>
      </c>
      <c r="V71" s="385"/>
      <c r="W71" s="32">
        <f t="shared" si="25"/>
        <v>-0.32693984306887414</v>
      </c>
      <c r="X71" s="32">
        <f t="shared" si="25"/>
        <v>6.910124644653393</v>
      </c>
      <c r="Y71" s="32">
        <f t="shared" si="25"/>
        <v>5.011249744323987</v>
      </c>
      <c r="Z71" s="32">
        <f t="shared" si="25"/>
        <v>8.278145695364248</v>
      </c>
      <c r="AA71" s="32">
        <f t="shared" si="25"/>
        <v>5.648497931282592</v>
      </c>
      <c r="AB71" s="32">
        <f t="shared" si="25"/>
        <v>7.917588966456668</v>
      </c>
      <c r="AC71" s="32">
        <f t="shared" si="25"/>
        <v>6.98958662038498</v>
      </c>
      <c r="AD71" s="32">
        <f t="shared" si="26"/>
        <v>5.85556420709803</v>
      </c>
      <c r="AE71" s="101">
        <f t="shared" si="26"/>
        <v>4.322134502213015</v>
      </c>
      <c r="AF71" s="32">
        <f t="shared" si="26"/>
        <v>1.1651055816561673</v>
      </c>
      <c r="AG71" s="32">
        <f t="shared" si="26"/>
        <v>2.0295467715103266</v>
      </c>
      <c r="AH71" s="101">
        <f t="shared" si="26"/>
        <v>-1.0200752231206978</v>
      </c>
      <c r="AI71" s="32">
        <f t="shared" si="26"/>
        <v>-45.36264879628025</v>
      </c>
      <c r="AJ71" s="33">
        <f t="shared" si="26"/>
        <v>53.200546329829315</v>
      </c>
    </row>
    <row r="72" spans="2:36" ht="15" customHeight="1">
      <c r="B72" s="300"/>
      <c r="C72" s="29"/>
      <c r="D72" s="32"/>
      <c r="E72" s="32"/>
      <c r="F72" s="32"/>
      <c r="G72" s="32"/>
      <c r="H72" s="101"/>
      <c r="I72" s="101"/>
      <c r="J72" s="32"/>
      <c r="K72" s="101"/>
      <c r="L72" s="32"/>
      <c r="M72" s="32"/>
      <c r="N72" s="32"/>
      <c r="O72" s="32"/>
      <c r="P72" s="32"/>
      <c r="Q72" s="32"/>
      <c r="R72" s="33"/>
      <c r="U72" s="390" t="s">
        <v>4</v>
      </c>
      <c r="V72" s="385"/>
      <c r="W72" s="32">
        <f t="shared" si="25"/>
        <v>12.178592784532594</v>
      </c>
      <c r="X72" s="32">
        <f t="shared" si="25"/>
        <v>23.969438521677343</v>
      </c>
      <c r="Y72" s="32">
        <f t="shared" si="25"/>
        <v>3.282212985523869</v>
      </c>
      <c r="Z72" s="32">
        <f t="shared" si="25"/>
        <v>10.699417152373037</v>
      </c>
      <c r="AA72" s="32">
        <f t="shared" si="25"/>
        <v>19.769336843424835</v>
      </c>
      <c r="AB72" s="32"/>
      <c r="AC72" s="32"/>
      <c r="AD72" s="32"/>
      <c r="AE72" s="101"/>
      <c r="AF72" s="32"/>
      <c r="AG72" s="32"/>
      <c r="AH72" s="101"/>
      <c r="AI72" s="32"/>
      <c r="AJ72" s="33"/>
    </row>
    <row r="73" spans="2:36" ht="15" customHeight="1">
      <c r="B73" s="301" t="s">
        <v>148</v>
      </c>
      <c r="C73" s="16">
        <f aca="true" t="shared" si="30" ref="C73:R73">+(D33/C33-1)*100</f>
        <v>-0.49207217058502284</v>
      </c>
      <c r="D73" s="17">
        <f t="shared" si="30"/>
        <v>2.481684981684995</v>
      </c>
      <c r="E73" s="17">
        <f t="shared" si="30"/>
        <v>0.5450808685550701</v>
      </c>
      <c r="F73" s="17">
        <f t="shared" si="30"/>
        <v>1.9107714184145141</v>
      </c>
      <c r="G73" s="17">
        <f t="shared" si="30"/>
        <v>5.869015435597791</v>
      </c>
      <c r="H73" s="137">
        <f t="shared" si="30"/>
        <v>4.423393739703441</v>
      </c>
      <c r="I73" s="137">
        <f t="shared" si="30"/>
        <v>4.3227893034629705</v>
      </c>
      <c r="J73" s="17">
        <f t="shared" si="30"/>
        <v>5.701323251417767</v>
      </c>
      <c r="K73" s="137">
        <f t="shared" si="30"/>
        <v>6.638529222405043</v>
      </c>
      <c r="L73" s="17">
        <f t="shared" si="30"/>
        <v>7.1979606896088955</v>
      </c>
      <c r="M73" s="17">
        <f t="shared" si="30"/>
        <v>7.540675844806</v>
      </c>
      <c r="N73" s="17">
        <f t="shared" si="30"/>
        <v>9.333721268548167</v>
      </c>
      <c r="O73" s="17">
        <f t="shared" si="30"/>
        <v>9.447016871573787</v>
      </c>
      <c r="P73" s="17">
        <f t="shared" si="30"/>
        <v>7.197043376774936</v>
      </c>
      <c r="Q73" s="17">
        <f t="shared" si="30"/>
        <v>6.94973688985665</v>
      </c>
      <c r="R73" s="18">
        <f t="shared" si="30"/>
        <v>6.998642687478784</v>
      </c>
      <c r="U73" s="390"/>
      <c r="V73" s="385"/>
      <c r="W73" s="32"/>
      <c r="X73" s="32"/>
      <c r="Y73" s="32"/>
      <c r="Z73" s="32"/>
      <c r="AA73" s="32"/>
      <c r="AB73" s="32"/>
      <c r="AC73" s="32"/>
      <c r="AD73" s="32"/>
      <c r="AE73" s="101"/>
      <c r="AF73" s="32"/>
      <c r="AG73" s="32"/>
      <c r="AH73" s="101"/>
      <c r="AI73" s="32"/>
      <c r="AJ73" s="33"/>
    </row>
    <row r="74" spans="2:36" ht="15" customHeight="1">
      <c r="B74" s="301"/>
      <c r="C74" s="16"/>
      <c r="D74" s="17"/>
      <c r="E74" s="17"/>
      <c r="F74" s="17"/>
      <c r="G74" s="17"/>
      <c r="H74" s="137"/>
      <c r="I74" s="137"/>
      <c r="J74" s="17"/>
      <c r="K74" s="137"/>
      <c r="L74" s="17"/>
      <c r="M74" s="17"/>
      <c r="N74" s="17"/>
      <c r="O74" s="17"/>
      <c r="P74" s="17"/>
      <c r="Q74" s="17"/>
      <c r="R74" s="18"/>
      <c r="U74" s="478" t="s">
        <v>279</v>
      </c>
      <c r="V74" s="386"/>
      <c r="W74" s="19"/>
      <c r="X74" s="19"/>
      <c r="Y74" s="19"/>
      <c r="Z74" s="19"/>
      <c r="AA74" s="19"/>
      <c r="AB74" s="19"/>
      <c r="AC74" s="19"/>
      <c r="AD74" s="19"/>
      <c r="AE74" s="210"/>
      <c r="AF74" s="19"/>
      <c r="AG74" s="19"/>
      <c r="AH74" s="210"/>
      <c r="AI74" s="19"/>
      <c r="AJ74" s="20"/>
    </row>
    <row r="75" spans="2:36" ht="15" customHeight="1">
      <c r="B75" s="301" t="s">
        <v>149</v>
      </c>
      <c r="C75" s="16"/>
      <c r="D75" s="17"/>
      <c r="E75" s="17"/>
      <c r="F75" s="17"/>
      <c r="G75" s="17"/>
      <c r="H75" s="137">
        <f aca="true" t="shared" si="31" ref="H75:R75">+(I35/H35-1)*100</f>
        <v>3.7558685446009266</v>
      </c>
      <c r="I75" s="137">
        <f t="shared" si="31"/>
        <v>1.4257662426363948</v>
      </c>
      <c r="J75" s="17">
        <f t="shared" si="31"/>
        <v>2.441077441077444</v>
      </c>
      <c r="K75" s="137">
        <f t="shared" si="31"/>
        <v>-0.7148726376335235</v>
      </c>
      <c r="L75" s="17">
        <f t="shared" si="31"/>
        <v>1.9448812381031244</v>
      </c>
      <c r="M75" s="17">
        <f t="shared" si="31"/>
        <v>3.3203442117226922</v>
      </c>
      <c r="N75" s="17">
        <f t="shared" si="31"/>
        <v>3.795081323171212</v>
      </c>
      <c r="O75" s="17">
        <f t="shared" si="31"/>
        <v>2.460257380772135</v>
      </c>
      <c r="P75" s="17">
        <f t="shared" si="31"/>
        <v>2.9479128186184145</v>
      </c>
      <c r="Q75" s="17">
        <f t="shared" si="31"/>
        <v>5.360987512559201</v>
      </c>
      <c r="R75" s="18">
        <f t="shared" si="31"/>
        <v>5.469654655677414</v>
      </c>
      <c r="U75" s="390" t="s">
        <v>73</v>
      </c>
      <c r="V75" s="387"/>
      <c r="W75" s="32">
        <f aca="true" t="shared" si="32" ref="W75:AC77">+(W29/V29-1)*100</f>
        <v>27.630769230769236</v>
      </c>
      <c r="X75" s="32">
        <f t="shared" si="32"/>
        <v>9.787849566055918</v>
      </c>
      <c r="Y75" s="32">
        <f t="shared" si="32"/>
        <v>7.509881422924902</v>
      </c>
      <c r="Z75" s="32">
        <f t="shared" si="32"/>
        <v>21.28267973856208</v>
      </c>
      <c r="AA75" s="32">
        <f t="shared" si="32"/>
        <v>18.86156955203773</v>
      </c>
      <c r="AB75" s="32">
        <f t="shared" si="32"/>
        <v>39.24624539529613</v>
      </c>
      <c r="AC75" s="32">
        <f t="shared" si="32"/>
        <v>31.155881155881172</v>
      </c>
      <c r="AD75" s="32">
        <f aca="true" t="shared" si="33" ref="AD75:AJ77">+(AD29/AC29-1)*100</f>
        <v>26.995837571862637</v>
      </c>
      <c r="AE75" s="101">
        <f t="shared" si="33"/>
        <v>14.43151867137098</v>
      </c>
      <c r="AF75" s="32">
        <f t="shared" si="33"/>
        <v>12.82331414471729</v>
      </c>
      <c r="AG75" s="32">
        <f t="shared" si="33"/>
        <v>6.12542024607905</v>
      </c>
      <c r="AH75" s="101">
        <f t="shared" si="33"/>
        <v>0.8087030157023722</v>
      </c>
      <c r="AI75" s="32">
        <f t="shared" si="33"/>
        <v>-50.57741964130389</v>
      </c>
      <c r="AJ75" s="33">
        <f t="shared" si="33"/>
        <v>38.093304459471746</v>
      </c>
    </row>
    <row r="76" spans="2:36" ht="15" customHeight="1">
      <c r="B76" s="300"/>
      <c r="C76" s="29"/>
      <c r="D76" s="32"/>
      <c r="E76" s="32"/>
      <c r="F76" s="32"/>
      <c r="G76" s="32"/>
      <c r="H76" s="101"/>
      <c r="I76" s="176"/>
      <c r="J76" s="213"/>
      <c r="K76" s="176"/>
      <c r="L76" s="213"/>
      <c r="M76" s="213"/>
      <c r="N76" s="213"/>
      <c r="O76" s="213"/>
      <c r="P76" s="213"/>
      <c r="Q76" s="213"/>
      <c r="R76" s="139"/>
      <c r="U76" s="390" t="s">
        <v>145</v>
      </c>
      <c r="V76" s="385"/>
      <c r="W76" s="32">
        <f t="shared" si="32"/>
        <v>8.511889208257116</v>
      </c>
      <c r="X76" s="32">
        <f t="shared" si="32"/>
        <v>7.446872554331474</v>
      </c>
      <c r="Y76" s="32">
        <f t="shared" si="32"/>
        <v>6.163155535634246</v>
      </c>
      <c r="Z76" s="32">
        <f t="shared" si="32"/>
        <v>10.692421363732318</v>
      </c>
      <c r="AA76" s="32">
        <f t="shared" si="32"/>
        <v>2.088299799752069</v>
      </c>
      <c r="AB76" s="32">
        <f t="shared" si="32"/>
        <v>30.006538389688032</v>
      </c>
      <c r="AC76" s="32">
        <f t="shared" si="32"/>
        <v>9.059884326615663</v>
      </c>
      <c r="AD76" s="32">
        <f t="shared" si="33"/>
        <v>3.7825314629229334</v>
      </c>
      <c r="AE76" s="101">
        <f t="shared" si="33"/>
        <v>5.186192142441959</v>
      </c>
      <c r="AF76" s="32">
        <f t="shared" si="33"/>
        <v>6.33707426864516</v>
      </c>
      <c r="AG76" s="32">
        <f t="shared" si="33"/>
        <v>5.217005905523919</v>
      </c>
      <c r="AH76" s="101">
        <f t="shared" si="33"/>
        <v>3.5722172081959602</v>
      </c>
      <c r="AI76" s="32">
        <f t="shared" si="33"/>
        <v>4.6292818146527415</v>
      </c>
      <c r="AJ76" s="33">
        <f t="shared" si="33"/>
        <v>3.158663308597154</v>
      </c>
    </row>
    <row r="77" spans="2:36" ht="15" customHeight="1">
      <c r="B77" s="300" t="s">
        <v>150</v>
      </c>
      <c r="C77" s="16">
        <f aca="true" t="shared" si="34" ref="C77:R77">+(D37/C37-1)*100</f>
        <v>6.71432189147505</v>
      </c>
      <c r="D77" s="17">
        <f t="shared" si="34"/>
        <v>6.958482099517815</v>
      </c>
      <c r="E77" s="17">
        <f t="shared" si="34"/>
        <v>3.934125335323424</v>
      </c>
      <c r="F77" s="17">
        <f t="shared" si="34"/>
        <v>3.7551305562832926</v>
      </c>
      <c r="G77" s="17">
        <f t="shared" si="34"/>
        <v>0.5386751956905744</v>
      </c>
      <c r="H77" s="137">
        <f t="shared" si="34"/>
        <v>1.7059671643179453</v>
      </c>
      <c r="I77" s="137">
        <f t="shared" si="34"/>
        <v>4.493364673172429</v>
      </c>
      <c r="J77" s="17">
        <f t="shared" si="34"/>
        <v>7.641879354409564</v>
      </c>
      <c r="K77" s="137">
        <f t="shared" si="34"/>
        <v>7.014790662124026</v>
      </c>
      <c r="L77" s="17">
        <f t="shared" si="34"/>
        <v>8.611047792720928</v>
      </c>
      <c r="M77" s="17">
        <f t="shared" si="34"/>
        <v>11.591333608501309</v>
      </c>
      <c r="N77" s="17">
        <f t="shared" si="34"/>
        <v>10.572245348312336</v>
      </c>
      <c r="O77" s="17">
        <f t="shared" si="34"/>
        <v>3.6093346033473805</v>
      </c>
      <c r="P77" s="17">
        <f t="shared" si="34"/>
        <v>7.287870330848989</v>
      </c>
      <c r="Q77" s="17">
        <f t="shared" si="34"/>
        <v>10.44272161583184</v>
      </c>
      <c r="R77" s="18">
        <f t="shared" si="34"/>
        <v>10.400676106292806</v>
      </c>
      <c r="U77" s="390" t="s">
        <v>79</v>
      </c>
      <c r="V77" s="385"/>
      <c r="W77" s="32">
        <f t="shared" si="32"/>
        <v>2.519167579408532</v>
      </c>
      <c r="X77" s="32">
        <f t="shared" si="32"/>
        <v>-5.502136752136744</v>
      </c>
      <c r="Y77" s="32">
        <f t="shared" si="32"/>
        <v>2.6003391746749482</v>
      </c>
      <c r="Z77" s="32">
        <f t="shared" si="32"/>
        <v>7.327823691460056</v>
      </c>
      <c r="AA77" s="32">
        <f t="shared" si="32"/>
        <v>8.264887063655024</v>
      </c>
      <c r="AB77" s="32">
        <f t="shared" si="32"/>
        <v>1.8018018018017834</v>
      </c>
      <c r="AC77" s="32">
        <f t="shared" si="32"/>
        <v>9.874243129948779</v>
      </c>
      <c r="AD77" s="32">
        <f t="shared" si="33"/>
        <v>-0.6431171753130349</v>
      </c>
      <c r="AE77" s="101">
        <f t="shared" si="33"/>
        <v>-0.0890198979413892</v>
      </c>
      <c r="AF77" s="32">
        <f t="shared" si="33"/>
        <v>4.2116412815595305</v>
      </c>
      <c r="AG77" s="32">
        <f t="shared" si="33"/>
        <v>5.169921651201559</v>
      </c>
      <c r="AH77" s="101">
        <f t="shared" si="33"/>
        <v>13.398519621980466</v>
      </c>
      <c r="AI77" s="32">
        <f t="shared" si="33"/>
        <v>-10.32452478605881</v>
      </c>
      <c r="AJ77" s="33">
        <f t="shared" si="33"/>
        <v>-7.207826889963687</v>
      </c>
    </row>
    <row r="78" spans="2:36" ht="15" customHeight="1">
      <c r="B78" s="303"/>
      <c r="C78" s="34"/>
      <c r="D78" s="35"/>
      <c r="E78" s="35"/>
      <c r="F78" s="35"/>
      <c r="G78" s="32"/>
      <c r="H78" s="101"/>
      <c r="I78" s="176"/>
      <c r="J78" s="213"/>
      <c r="K78" s="176"/>
      <c r="L78" s="213"/>
      <c r="M78" s="213"/>
      <c r="N78" s="213"/>
      <c r="O78" s="213"/>
      <c r="P78" s="213"/>
      <c r="Q78" s="213"/>
      <c r="R78" s="139"/>
      <c r="U78" s="390"/>
      <c r="V78" s="385"/>
      <c r="W78" s="32"/>
      <c r="X78" s="32"/>
      <c r="Y78" s="32"/>
      <c r="Z78" s="32"/>
      <c r="AA78" s="32"/>
      <c r="AB78" s="32"/>
      <c r="AC78" s="32"/>
      <c r="AD78" s="32"/>
      <c r="AE78" s="101"/>
      <c r="AF78" s="32"/>
      <c r="AG78" s="32"/>
      <c r="AH78" s="101"/>
      <c r="AI78" s="32"/>
      <c r="AJ78" s="33"/>
    </row>
    <row r="79" spans="2:36" ht="15" customHeight="1">
      <c r="B79" s="300" t="s">
        <v>80</v>
      </c>
      <c r="C79" s="29">
        <f>+(D39/C39-1)*100</f>
        <v>2.065009560229436</v>
      </c>
      <c r="D79" s="32">
        <f aca="true" t="shared" si="35" ref="D79:R82">+(E39/D39-1)*100</f>
        <v>1.7984263769202036</v>
      </c>
      <c r="E79" s="32">
        <f t="shared" si="35"/>
        <v>-2.9812292970187615</v>
      </c>
      <c r="F79" s="32">
        <f t="shared" si="35"/>
        <v>-16.19878603945373</v>
      </c>
      <c r="G79" s="32">
        <f t="shared" si="35"/>
        <v>-5.432322317790861</v>
      </c>
      <c r="H79" s="101">
        <f t="shared" si="35"/>
        <v>1.2446146481570164</v>
      </c>
      <c r="I79" s="101">
        <f t="shared" si="35"/>
        <v>-6.288416075650128</v>
      </c>
      <c r="J79" s="32">
        <f t="shared" si="35"/>
        <v>4.894046417759856</v>
      </c>
      <c r="K79" s="101">
        <f t="shared" si="35"/>
        <v>10.004810004809993</v>
      </c>
      <c r="L79" s="32">
        <f t="shared" si="35"/>
        <v>24.74857892435507</v>
      </c>
      <c r="M79" s="32">
        <f t="shared" si="35"/>
        <v>22.4675779880827</v>
      </c>
      <c r="N79" s="32">
        <f t="shared" si="35"/>
        <v>4.464796794504866</v>
      </c>
      <c r="O79" s="32">
        <f t="shared" si="35"/>
        <v>-5.150684931506855</v>
      </c>
      <c r="P79" s="32">
        <f t="shared" si="35"/>
        <v>14.211438474870008</v>
      </c>
      <c r="Q79" s="32">
        <f t="shared" si="35"/>
        <v>8.851795649974715</v>
      </c>
      <c r="R79" s="33">
        <f t="shared" si="35"/>
        <v>9.01486988847584</v>
      </c>
      <c r="U79" s="478" t="s">
        <v>280</v>
      </c>
      <c r="V79" s="388"/>
      <c r="W79" s="17"/>
      <c r="X79" s="17"/>
      <c r="Y79" s="17"/>
      <c r="Z79" s="17"/>
      <c r="AA79" s="17"/>
      <c r="AB79" s="17"/>
      <c r="AC79" s="17"/>
      <c r="AD79" s="17"/>
      <c r="AE79" s="137"/>
      <c r="AF79" s="17"/>
      <c r="AG79" s="17"/>
      <c r="AH79" s="137"/>
      <c r="AI79" s="17"/>
      <c r="AJ79" s="18"/>
    </row>
    <row r="80" spans="2:36" ht="15" customHeight="1">
      <c r="B80" s="300" t="s">
        <v>124</v>
      </c>
      <c r="C80" s="29">
        <f>+(D40/C40-1)*100</f>
        <v>3.649635036496357</v>
      </c>
      <c r="D80" s="32">
        <f t="shared" si="35"/>
        <v>1.1150234741784004</v>
      </c>
      <c r="E80" s="32">
        <f t="shared" si="35"/>
        <v>2.495647127103884</v>
      </c>
      <c r="F80" s="32">
        <f t="shared" si="35"/>
        <v>-12.51415628539071</v>
      </c>
      <c r="G80" s="32">
        <f t="shared" si="35"/>
        <v>-9.579288025889976</v>
      </c>
      <c r="H80" s="101">
        <f t="shared" si="35"/>
        <v>-2.1474588403722294</v>
      </c>
      <c r="I80" s="101">
        <f t="shared" si="35"/>
        <v>1.8288222384784225</v>
      </c>
      <c r="J80" s="32">
        <f t="shared" si="35"/>
        <v>22.62931034482758</v>
      </c>
      <c r="K80" s="101">
        <f t="shared" si="35"/>
        <v>12.360867018160526</v>
      </c>
      <c r="L80" s="32">
        <f t="shared" si="35"/>
        <v>32.690302398331596</v>
      </c>
      <c r="M80" s="32">
        <f t="shared" si="35"/>
        <v>18.821218074656176</v>
      </c>
      <c r="N80" s="32">
        <f t="shared" si="35"/>
        <v>9.226190476190489</v>
      </c>
      <c r="O80" s="32">
        <f t="shared" si="35"/>
        <v>7.9624583711777275</v>
      </c>
      <c r="P80" s="32">
        <f t="shared" si="35"/>
        <v>24.17274256870443</v>
      </c>
      <c r="Q80" s="32">
        <f t="shared" si="35"/>
        <v>22.967479674796753</v>
      </c>
      <c r="R80" s="33">
        <f t="shared" si="35"/>
        <v>12.72727272727272</v>
      </c>
      <c r="U80" s="390" t="s">
        <v>197</v>
      </c>
      <c r="V80" s="393"/>
      <c r="W80" s="17"/>
      <c r="X80" s="17"/>
      <c r="Y80" s="17"/>
      <c r="Z80" s="17"/>
      <c r="AA80" s="17"/>
      <c r="AB80" s="17"/>
      <c r="AC80" s="17"/>
      <c r="AD80" s="17"/>
      <c r="AE80" s="137"/>
      <c r="AF80" s="17"/>
      <c r="AG80" s="17"/>
      <c r="AH80" s="137"/>
      <c r="AI80" s="17"/>
      <c r="AJ80" s="18"/>
    </row>
    <row r="81" spans="2:36" ht="15" customHeight="1">
      <c r="B81" s="300" t="s">
        <v>5</v>
      </c>
      <c r="C81" s="29">
        <f>+(D41/C41-1)*100</f>
        <v>14.507989907485275</v>
      </c>
      <c r="D81" s="32">
        <f t="shared" si="35"/>
        <v>18.76606683804627</v>
      </c>
      <c r="E81" s="32">
        <f t="shared" si="35"/>
        <v>13.388991960420537</v>
      </c>
      <c r="F81" s="32">
        <f t="shared" si="35"/>
        <v>-4.935914916825734</v>
      </c>
      <c r="G81" s="32">
        <f t="shared" si="35"/>
        <v>13.912794033275965</v>
      </c>
      <c r="H81" s="101">
        <f t="shared" si="35"/>
        <v>16.04129942080079</v>
      </c>
      <c r="I81" s="101">
        <f t="shared" si="35"/>
        <v>1.041666666666674</v>
      </c>
      <c r="J81" s="32">
        <f t="shared" si="35"/>
        <v>7.388316151202745</v>
      </c>
      <c r="K81" s="101">
        <f t="shared" si="35"/>
        <v>7.899999999999996</v>
      </c>
      <c r="L81" s="32">
        <f t="shared" si="35"/>
        <v>4.17052826691382</v>
      </c>
      <c r="M81" s="32">
        <f t="shared" si="35"/>
        <v>13.790035587188608</v>
      </c>
      <c r="N81" s="32">
        <f t="shared" si="35"/>
        <v>1.6419077404222104</v>
      </c>
      <c r="O81" s="32">
        <f t="shared" si="35"/>
        <v>3.41538461538462</v>
      </c>
      <c r="P81" s="32">
        <f t="shared" si="35"/>
        <v>9.030050580184469</v>
      </c>
      <c r="Q81" s="32">
        <f t="shared" si="35"/>
        <v>10.860963296493376</v>
      </c>
      <c r="R81" s="33">
        <f t="shared" si="35"/>
        <v>14.326153846153833</v>
      </c>
      <c r="U81" s="390" t="s">
        <v>198</v>
      </c>
      <c r="V81" s="393"/>
      <c r="W81" s="32">
        <f aca="true" t="shared" si="36" ref="W81:AC83">+(W35/V35-1)*100</f>
        <v>12.38371390600459</v>
      </c>
      <c r="X81" s="32">
        <f t="shared" si="36"/>
        <v>12.599440980434329</v>
      </c>
      <c r="Y81" s="32">
        <f t="shared" si="36"/>
        <v>11.323276685125073</v>
      </c>
      <c r="Z81" s="32">
        <f t="shared" si="36"/>
        <v>9.751286449399664</v>
      </c>
      <c r="AA81" s="32">
        <f t="shared" si="36"/>
        <v>11.815269203719625</v>
      </c>
      <c r="AB81" s="32">
        <f t="shared" si="36"/>
        <v>10.517855894891337</v>
      </c>
      <c r="AC81" s="32">
        <f t="shared" si="36"/>
        <v>3.8446945744277095</v>
      </c>
      <c r="AD81" s="32">
        <f aca="true" t="shared" si="37" ref="AD81:AJ83">+(AD35/AC35-1)*100</f>
        <v>12.847073186801271</v>
      </c>
      <c r="AE81" s="101">
        <f t="shared" si="37"/>
        <v>15.100016048625719</v>
      </c>
      <c r="AF81" s="32">
        <f t="shared" si="37"/>
        <v>15.934440669959704</v>
      </c>
      <c r="AG81" s="32">
        <f t="shared" si="37"/>
        <v>10.945115460372845</v>
      </c>
      <c r="AH81" s="101">
        <f t="shared" si="37"/>
        <v>11.732464998278068</v>
      </c>
      <c r="AI81" s="32">
        <f t="shared" si="37"/>
        <v>13.979394491465014</v>
      </c>
      <c r="AJ81" s="33">
        <f t="shared" si="37"/>
        <v>8.9467582823747</v>
      </c>
    </row>
    <row r="82" spans="2:36" ht="15" customHeight="1">
      <c r="B82" s="300" t="s">
        <v>6</v>
      </c>
      <c r="C82" s="29">
        <f>+(D42/C42-1)*100</f>
        <v>118.96551724137932</v>
      </c>
      <c r="D82" s="32">
        <f t="shared" si="35"/>
        <v>-45.82677165354331</v>
      </c>
      <c r="E82" s="32">
        <f t="shared" si="35"/>
        <v>20.05813953488371</v>
      </c>
      <c r="F82" s="32">
        <f t="shared" si="35"/>
        <v>11.380145278450371</v>
      </c>
      <c r="G82" s="32">
        <f t="shared" si="35"/>
        <v>30.434782608695656</v>
      </c>
      <c r="H82" s="101">
        <f t="shared" si="35"/>
        <v>-13.666666666666671</v>
      </c>
      <c r="I82" s="101">
        <f t="shared" si="35"/>
        <v>-12.355212355212352</v>
      </c>
      <c r="J82" s="32">
        <f t="shared" si="35"/>
        <v>71.14537444933922</v>
      </c>
      <c r="K82" s="101">
        <f t="shared" si="35"/>
        <v>2.7027027027026973</v>
      </c>
      <c r="L82" s="32">
        <f t="shared" si="35"/>
        <v>97.36842105263159</v>
      </c>
      <c r="M82" s="32">
        <f t="shared" si="35"/>
        <v>0.3809523809523707</v>
      </c>
      <c r="N82" s="32">
        <f t="shared" si="35"/>
        <v>7.526881720430101</v>
      </c>
      <c r="O82" s="32">
        <f t="shared" si="35"/>
        <v>-34.82352941176471</v>
      </c>
      <c r="P82" s="32">
        <f t="shared" si="35"/>
        <v>64.89169675090251</v>
      </c>
      <c r="Q82" s="32">
        <f t="shared" si="35"/>
        <v>-7.662835249042144</v>
      </c>
      <c r="R82" s="33">
        <f t="shared" si="35"/>
        <v>-4.030823947836382</v>
      </c>
      <c r="U82" s="390" t="s">
        <v>199</v>
      </c>
      <c r="V82" s="393"/>
      <c r="W82" s="32">
        <f t="shared" si="36"/>
        <v>9.102178147689033</v>
      </c>
      <c r="X82" s="32">
        <f t="shared" si="36"/>
        <v>6.411296867391658</v>
      </c>
      <c r="Y82" s="32">
        <f t="shared" si="36"/>
        <v>5.780964002440503</v>
      </c>
      <c r="Z82" s="32">
        <f t="shared" si="36"/>
        <v>8.579668348954584</v>
      </c>
      <c r="AA82" s="32">
        <f t="shared" si="36"/>
        <v>11.899070385126166</v>
      </c>
      <c r="AB82" s="32">
        <f t="shared" si="36"/>
        <v>5.471160693092814</v>
      </c>
      <c r="AC82" s="32">
        <f t="shared" si="36"/>
        <v>13.300326319342858</v>
      </c>
      <c r="AD82" s="32">
        <f t="shared" si="37"/>
        <v>14.988437438288127</v>
      </c>
      <c r="AE82" s="101">
        <f t="shared" si="37"/>
        <v>6.066316183483034</v>
      </c>
      <c r="AF82" s="32">
        <f t="shared" si="37"/>
        <v>12.914210948281891</v>
      </c>
      <c r="AG82" s="32">
        <f t="shared" si="37"/>
        <v>3.8525646954661985</v>
      </c>
      <c r="AH82" s="101">
        <f t="shared" si="37"/>
        <v>1.9870919160964506</v>
      </c>
      <c r="AI82" s="32">
        <f t="shared" si="37"/>
        <v>-13.480940836370836</v>
      </c>
      <c r="AJ82" s="33">
        <f t="shared" si="37"/>
        <v>1.72079321537697</v>
      </c>
    </row>
    <row r="83" spans="2:36" ht="15" customHeight="1">
      <c r="B83" s="303"/>
      <c r="C83" s="34"/>
      <c r="D83" s="35"/>
      <c r="E83" s="35"/>
      <c r="F83" s="36" t="s">
        <v>49</v>
      </c>
      <c r="G83" s="32"/>
      <c r="H83" s="101"/>
      <c r="I83" s="176"/>
      <c r="J83" s="213"/>
      <c r="K83" s="176"/>
      <c r="L83" s="213"/>
      <c r="M83" s="213"/>
      <c r="N83" s="213"/>
      <c r="O83" s="213"/>
      <c r="P83" s="213"/>
      <c r="Q83" s="213"/>
      <c r="R83" s="139"/>
      <c r="U83" s="390" t="s">
        <v>200</v>
      </c>
      <c r="V83" s="385"/>
      <c r="W83" s="32">
        <f t="shared" si="36"/>
        <v>3.8185605183985283</v>
      </c>
      <c r="X83" s="32">
        <f t="shared" si="36"/>
        <v>11.725367810967446</v>
      </c>
      <c r="Y83" s="32">
        <f t="shared" si="36"/>
        <v>9.996009577015164</v>
      </c>
      <c r="Z83" s="32">
        <f t="shared" si="36"/>
        <v>7.364411391257031</v>
      </c>
      <c r="AA83" s="32">
        <f t="shared" si="36"/>
        <v>3.564791349890184</v>
      </c>
      <c r="AB83" s="32">
        <f t="shared" si="36"/>
        <v>16.7047308319739</v>
      </c>
      <c r="AC83" s="32">
        <f t="shared" si="36"/>
        <v>6.863293262510495</v>
      </c>
      <c r="AD83" s="32">
        <f t="shared" si="37"/>
        <v>6.459451357838764</v>
      </c>
      <c r="AE83" s="101">
        <f t="shared" si="37"/>
        <v>23.523222812691635</v>
      </c>
      <c r="AF83" s="32">
        <f t="shared" si="37"/>
        <v>16.84650662647882</v>
      </c>
      <c r="AG83" s="32">
        <f t="shared" si="37"/>
        <v>10.164803199733408</v>
      </c>
      <c r="AH83" s="101">
        <f t="shared" si="37"/>
        <v>4.715478140260476</v>
      </c>
      <c r="AI83" s="32">
        <f t="shared" si="37"/>
        <v>24.367728086039286</v>
      </c>
      <c r="AJ83" s="33">
        <f t="shared" si="37"/>
        <v>8.517841305570206</v>
      </c>
    </row>
    <row r="84" spans="2:36" s="22" customFormat="1" ht="15" customHeight="1">
      <c r="B84" s="300" t="s">
        <v>151</v>
      </c>
      <c r="C84" s="16">
        <f aca="true" t="shared" si="38" ref="C84:R84">+(D44/C44-1)*100</f>
        <v>6.379463854710887</v>
      </c>
      <c r="D84" s="17">
        <f t="shared" si="38"/>
        <v>7.3814133591481035</v>
      </c>
      <c r="E84" s="17">
        <f t="shared" si="38"/>
        <v>3.969461347757508</v>
      </c>
      <c r="F84" s="17">
        <f t="shared" si="38"/>
        <v>2.704240617802456</v>
      </c>
      <c r="G84" s="17">
        <f t="shared" si="38"/>
        <v>0.5742729247464995</v>
      </c>
      <c r="H84" s="137">
        <f t="shared" si="38"/>
        <v>2.2288872177821384</v>
      </c>
      <c r="I84" s="137">
        <f t="shared" si="38"/>
        <v>4.205763358452175</v>
      </c>
      <c r="J84" s="17">
        <f t="shared" si="38"/>
        <v>7.522080309945145</v>
      </c>
      <c r="K84" s="137">
        <f t="shared" si="38"/>
        <v>7.1912788567240815</v>
      </c>
      <c r="L84" s="17">
        <f t="shared" si="38"/>
        <v>8.527761160014812</v>
      </c>
      <c r="M84" s="17">
        <f t="shared" si="38"/>
        <v>12.112661268095536</v>
      </c>
      <c r="N84" s="17">
        <f t="shared" si="38"/>
        <v>10.117417058837264</v>
      </c>
      <c r="O84" s="17">
        <f t="shared" si="38"/>
        <v>3.856396408847118</v>
      </c>
      <c r="P84" s="17">
        <f t="shared" si="38"/>
        <v>7.451991974777905</v>
      </c>
      <c r="Q84" s="17">
        <f t="shared" si="38"/>
        <v>10.849083565141138</v>
      </c>
      <c r="R84" s="18">
        <f t="shared" si="38"/>
        <v>10.671146995758885</v>
      </c>
      <c r="U84" s="390" t="s">
        <v>201</v>
      </c>
      <c r="V84" s="388"/>
      <c r="W84" s="17"/>
      <c r="X84" s="17"/>
      <c r="Y84" s="17"/>
      <c r="Z84" s="17"/>
      <c r="AA84" s="17"/>
      <c r="AB84" s="17"/>
      <c r="AC84" s="17"/>
      <c r="AD84" s="17"/>
      <c r="AE84" s="137"/>
      <c r="AF84" s="17"/>
      <c r="AG84" s="17"/>
      <c r="AH84" s="137"/>
      <c r="AI84" s="17"/>
      <c r="AJ84" s="18"/>
    </row>
    <row r="85" spans="2:36" s="22" customFormat="1" ht="15" customHeight="1" thickBot="1">
      <c r="B85" s="302"/>
      <c r="C85" s="40"/>
      <c r="D85" s="41"/>
      <c r="E85" s="41"/>
      <c r="F85" s="41"/>
      <c r="G85" s="102"/>
      <c r="H85" s="102"/>
      <c r="I85" s="177"/>
      <c r="J85" s="214"/>
      <c r="K85" s="177"/>
      <c r="L85" s="214"/>
      <c r="M85" s="214"/>
      <c r="N85" s="214"/>
      <c r="O85" s="214"/>
      <c r="P85" s="214"/>
      <c r="Q85" s="214"/>
      <c r="R85" s="138"/>
      <c r="U85" s="390" t="s">
        <v>202</v>
      </c>
      <c r="V85" s="385"/>
      <c r="W85" s="32">
        <f aca="true" t="shared" si="39" ref="W85:AJ85">+(W39/V39-1)*100</f>
        <v>25.059665871121716</v>
      </c>
      <c r="X85" s="32">
        <f t="shared" si="39"/>
        <v>38.74045801526718</v>
      </c>
      <c r="Y85" s="32">
        <f t="shared" si="39"/>
        <v>-3.0261348005502064</v>
      </c>
      <c r="Z85" s="32">
        <f t="shared" si="39"/>
        <v>-24.539007092198574</v>
      </c>
      <c r="AA85" s="32">
        <f t="shared" si="39"/>
        <v>7.706766917293217</v>
      </c>
      <c r="AB85" s="32">
        <f t="shared" si="39"/>
        <v>17.277486910994778</v>
      </c>
      <c r="AC85" s="32">
        <f t="shared" si="39"/>
        <v>-4.315476190476197</v>
      </c>
      <c r="AD85" s="32">
        <f t="shared" si="39"/>
        <v>13.541460936925521</v>
      </c>
      <c r="AE85" s="101">
        <f t="shared" si="39"/>
        <v>10.983335392503912</v>
      </c>
      <c r="AF85" s="32">
        <f t="shared" si="39"/>
        <v>6.523736733191554</v>
      </c>
      <c r="AG85" s="32">
        <f t="shared" si="39"/>
        <v>3.303505700361087</v>
      </c>
      <c r="AH85" s="101">
        <f t="shared" si="39"/>
        <v>4.106324416677309</v>
      </c>
      <c r="AI85" s="32">
        <f t="shared" si="39"/>
        <v>-2.4972795705306194</v>
      </c>
      <c r="AJ85" s="33">
        <f t="shared" si="39"/>
        <v>10.781458277676869</v>
      </c>
    </row>
    <row r="86" spans="2:36" s="22" customFormat="1" ht="15" customHeight="1">
      <c r="B86" s="27"/>
      <c r="C86" s="25"/>
      <c r="D86" s="25"/>
      <c r="E86" s="25"/>
      <c r="F86" s="25"/>
      <c r="G86" s="25"/>
      <c r="U86" s="390"/>
      <c r="V86" s="385"/>
      <c r="W86" s="32"/>
      <c r="X86" s="32"/>
      <c r="Y86" s="32"/>
      <c r="Z86" s="32"/>
      <c r="AA86" s="32"/>
      <c r="AB86" s="32"/>
      <c r="AC86" s="32"/>
      <c r="AD86" s="32"/>
      <c r="AE86" s="101"/>
      <c r="AF86" s="32"/>
      <c r="AG86" s="32"/>
      <c r="AH86" s="101"/>
      <c r="AI86" s="32"/>
      <c r="AJ86" s="33"/>
    </row>
    <row r="87" spans="2:36" s="7" customFormat="1" ht="15" customHeight="1">
      <c r="B87" s="26" t="s">
        <v>193</v>
      </c>
      <c r="U87" s="390" t="s">
        <v>150</v>
      </c>
      <c r="V87" s="388"/>
      <c r="W87" s="17">
        <f aca="true" t="shared" si="40" ref="W87:AJ87">+(W41/V41-1)*100</f>
        <v>17.057369998955927</v>
      </c>
      <c r="X87" s="17">
        <f t="shared" si="40"/>
        <v>8.363878848628769</v>
      </c>
      <c r="Y87" s="17">
        <f t="shared" si="40"/>
        <v>8.420706063112139</v>
      </c>
      <c r="Z87" s="17">
        <f t="shared" si="40"/>
        <v>18.83434496072187</v>
      </c>
      <c r="AA87" s="17">
        <f t="shared" si="40"/>
        <v>16.534029374901138</v>
      </c>
      <c r="AB87" s="17">
        <f t="shared" si="40"/>
        <v>14.456255579978382</v>
      </c>
      <c r="AC87" s="17">
        <f t="shared" si="40"/>
        <v>9.364957360477867</v>
      </c>
      <c r="AD87" s="17">
        <f t="shared" si="40"/>
        <v>8.490865564351768</v>
      </c>
      <c r="AE87" s="137">
        <f t="shared" si="40"/>
        <v>6.888463279918566</v>
      </c>
      <c r="AF87" s="17">
        <f t="shared" si="40"/>
        <v>7.76603382510479</v>
      </c>
      <c r="AG87" s="17">
        <f t="shared" si="40"/>
        <v>4.664368587810586</v>
      </c>
      <c r="AH87" s="137">
        <f t="shared" si="40"/>
        <v>3.421197156345701</v>
      </c>
      <c r="AI87" s="17">
        <f t="shared" si="40"/>
        <v>-19.49282130660519</v>
      </c>
      <c r="AJ87" s="18">
        <f t="shared" si="40"/>
        <v>17.278076686764</v>
      </c>
    </row>
    <row r="88" spans="2:36" s="7" customFormat="1" ht="15" customHeight="1">
      <c r="B88" s="26" t="s">
        <v>194</v>
      </c>
      <c r="U88" s="391"/>
      <c r="V88" s="388"/>
      <c r="W88" s="17"/>
      <c r="X88" s="17"/>
      <c r="Y88" s="17"/>
      <c r="Z88" s="17"/>
      <c r="AA88" s="17"/>
      <c r="AB88" s="17"/>
      <c r="AC88" s="17"/>
      <c r="AD88" s="17"/>
      <c r="AE88" s="137"/>
      <c r="AF88" s="17"/>
      <c r="AG88" s="17"/>
      <c r="AH88" s="137"/>
      <c r="AI88" s="17"/>
      <c r="AJ88" s="18"/>
    </row>
    <row r="89" spans="2:36" s="7" customFormat="1" ht="15" customHeight="1">
      <c r="B89" s="26" t="s">
        <v>7</v>
      </c>
      <c r="U89" s="390" t="s">
        <v>281</v>
      </c>
      <c r="V89" s="385"/>
      <c r="W89" s="32">
        <f aca="true" t="shared" si="41" ref="W89:AJ89">+(W43/V43-1)*100</f>
        <v>15.843694493783289</v>
      </c>
      <c r="X89" s="32">
        <f t="shared" si="41"/>
        <v>10.426249616681993</v>
      </c>
      <c r="Y89" s="32">
        <f t="shared" si="41"/>
        <v>16.21771730074979</v>
      </c>
      <c r="Z89" s="32">
        <f t="shared" si="41"/>
        <v>19.657506969334925</v>
      </c>
      <c r="AA89" s="32">
        <f t="shared" si="41"/>
        <v>9.705118817812686</v>
      </c>
      <c r="AB89" s="32">
        <f t="shared" si="41"/>
        <v>6.534797645773915</v>
      </c>
      <c r="AC89" s="32">
        <f t="shared" si="41"/>
        <v>12.267912062877318</v>
      </c>
      <c r="AD89" s="32">
        <f t="shared" si="41"/>
        <v>5.013101910511408</v>
      </c>
      <c r="AE89" s="101">
        <f t="shared" si="41"/>
        <v>11.231120250319337</v>
      </c>
      <c r="AF89" s="32">
        <f t="shared" si="41"/>
        <v>-1.00779413615395</v>
      </c>
      <c r="AG89" s="32">
        <f t="shared" si="41"/>
        <v>-3.0032443343478765</v>
      </c>
      <c r="AH89" s="101">
        <f t="shared" si="41"/>
        <v>-4.102849502704242</v>
      </c>
      <c r="AI89" s="32">
        <f t="shared" si="41"/>
        <v>-17.145591955241144</v>
      </c>
      <c r="AJ89" s="33">
        <f t="shared" si="41"/>
        <v>34.45919732458598</v>
      </c>
    </row>
    <row r="90" spans="21:36" ht="15" customHeight="1">
      <c r="U90" s="390"/>
      <c r="V90" s="388"/>
      <c r="W90" s="17"/>
      <c r="X90" s="17"/>
      <c r="Y90" s="17"/>
      <c r="Z90" s="17"/>
      <c r="AA90" s="17"/>
      <c r="AB90" s="17"/>
      <c r="AC90" s="17"/>
      <c r="AD90" s="17"/>
      <c r="AE90" s="137"/>
      <c r="AF90" s="17"/>
      <c r="AG90" s="17"/>
      <c r="AH90" s="137"/>
      <c r="AI90" s="17"/>
      <c r="AJ90" s="18"/>
    </row>
    <row r="91" spans="21:36" ht="15" customHeight="1" thickBot="1">
      <c r="U91" s="392" t="s">
        <v>151</v>
      </c>
      <c r="V91" s="489"/>
      <c r="W91" s="490">
        <f>+(W45/V45-1)*100</f>
        <v>17.008464628920983</v>
      </c>
      <c r="X91" s="490">
        <f aca="true" t="shared" si="42" ref="X91:AC91">+(X45/W45-1)*100</f>
        <v>8.44615535184159</v>
      </c>
      <c r="Y91" s="490">
        <f t="shared" si="42"/>
        <v>8.737440587208912</v>
      </c>
      <c r="Z91" s="490">
        <f>+(Z45/Y45-1)*100</f>
        <v>18.870084240521233</v>
      </c>
      <c r="AA91" s="490">
        <f t="shared" si="42"/>
        <v>16.23557408382521</v>
      </c>
      <c r="AB91" s="490">
        <f t="shared" si="42"/>
        <v>14.129501660630673</v>
      </c>
      <c r="AC91" s="490">
        <f t="shared" si="42"/>
        <v>9.476733603654374</v>
      </c>
      <c r="AD91" s="490">
        <f aca="true" t="shared" si="43" ref="AD91:AI91">+(AD45/AC45-1)*100</f>
        <v>8.353542613029186</v>
      </c>
      <c r="AE91" s="551">
        <f t="shared" si="43"/>
        <v>7.054651012184743</v>
      </c>
      <c r="AF91" s="490">
        <f t="shared" si="43"/>
        <v>7.41717210184587</v>
      </c>
      <c r="AG91" s="490">
        <f t="shared" si="43"/>
        <v>4.383403942321751</v>
      </c>
      <c r="AH91" s="491">
        <f t="shared" si="43"/>
        <v>3.165003290173396</v>
      </c>
      <c r="AI91" s="490">
        <f t="shared" si="43"/>
        <v>-19.418528617043997</v>
      </c>
      <c r="AJ91" s="491">
        <f>+(AJ45/AI45-1)*100</f>
        <v>17.837219138922045</v>
      </c>
    </row>
    <row r="92" spans="21:30" ht="15" customHeight="1">
      <c r="U92"/>
      <c r="V92"/>
      <c r="W92"/>
      <c r="X92"/>
      <c r="Y92"/>
      <c r="Z92"/>
      <c r="AA92"/>
      <c r="AB92"/>
      <c r="AC92"/>
      <c r="AD92"/>
    </row>
    <row r="93" spans="21:30" ht="15" customHeight="1">
      <c r="U93"/>
      <c r="V93"/>
      <c r="W93"/>
      <c r="X93"/>
      <c r="Y93"/>
      <c r="Z93"/>
      <c r="AA93"/>
      <c r="AB93"/>
      <c r="AC93"/>
      <c r="AD93"/>
    </row>
    <row r="94" spans="21:30" ht="15" customHeight="1">
      <c r="U94"/>
      <c r="V94"/>
      <c r="W94"/>
      <c r="X94"/>
      <c r="Y94"/>
      <c r="Z94"/>
      <c r="AA94"/>
      <c r="AB94"/>
      <c r="AC94"/>
      <c r="AD94"/>
    </row>
    <row r="95" spans="21:30" ht="15" customHeight="1">
      <c r="U95"/>
      <c r="V95"/>
      <c r="W95"/>
      <c r="X95"/>
      <c r="Y95"/>
      <c r="Z95"/>
      <c r="AA95"/>
      <c r="AB95"/>
      <c r="AC95"/>
      <c r="AD95"/>
    </row>
  </sheetData>
  <sheetProtection/>
  <mergeCells count="14">
    <mergeCell ref="U53:AJ53"/>
    <mergeCell ref="B5:S5"/>
    <mergeCell ref="B6:S6"/>
    <mergeCell ref="B47:R47"/>
    <mergeCell ref="U4:AJ4"/>
    <mergeCell ref="U5:AJ5"/>
    <mergeCell ref="U6:AJ6"/>
    <mergeCell ref="B1:S1"/>
    <mergeCell ref="B2:S2"/>
    <mergeCell ref="B3:S3"/>
    <mergeCell ref="B4:S4"/>
    <mergeCell ref="U1:AJ1"/>
    <mergeCell ref="U2:AJ2"/>
    <mergeCell ref="U3:AJ3"/>
  </mergeCells>
  <printOptions horizontalCentered="1"/>
  <pageMargins left="0.3937007874015748" right="0.3937007874015748" top="0.43" bottom="0.3937007874015748" header="0" footer="0"/>
  <pageSetup horizontalDpi="300" verticalDpi="300" orientation="portrait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B1:I42"/>
  <sheetViews>
    <sheetView zoomScalePageLayoutView="0" workbookViewId="0" topLeftCell="A1">
      <selection activeCell="F50" sqref="F50"/>
    </sheetView>
  </sheetViews>
  <sheetFormatPr defaultColWidth="11.421875" defaultRowHeight="12.75"/>
  <cols>
    <col min="1" max="1" width="3.140625" style="61" customWidth="1"/>
    <col min="2" max="2" width="12.28125" style="61" customWidth="1"/>
    <col min="3" max="3" width="65.28125" style="61" customWidth="1"/>
    <col min="4" max="6" width="12.00390625" style="98" customWidth="1"/>
    <col min="7" max="8" width="12.140625" style="61" customWidth="1"/>
    <col min="9" max="9" width="11.8515625" style="61" customWidth="1"/>
    <col min="10" max="16384" width="11.421875" style="61" customWidth="1"/>
  </cols>
  <sheetData>
    <row r="1" spans="2:9" ht="15">
      <c r="B1" s="672" t="s">
        <v>25</v>
      </c>
      <c r="C1" s="672"/>
      <c r="D1" s="672"/>
      <c r="E1" s="672"/>
      <c r="F1" s="672"/>
      <c r="G1" s="672"/>
      <c r="H1" s="672"/>
      <c r="I1" s="672"/>
    </row>
    <row r="2" spans="2:9" ht="15">
      <c r="B2" s="672" t="s">
        <v>236</v>
      </c>
      <c r="C2" s="672"/>
      <c r="D2" s="672"/>
      <c r="E2" s="672"/>
      <c r="F2" s="672"/>
      <c r="G2" s="672"/>
      <c r="H2" s="672"/>
      <c r="I2" s="672"/>
    </row>
    <row r="3" spans="2:9" ht="15">
      <c r="B3" s="672" t="s">
        <v>296</v>
      </c>
      <c r="C3" s="672"/>
      <c r="D3" s="672"/>
      <c r="E3" s="672"/>
      <c r="F3" s="672"/>
      <c r="G3" s="672"/>
      <c r="H3" s="672"/>
      <c r="I3" s="672"/>
    </row>
    <row r="4" spans="2:9" ht="15.75" thickBot="1">
      <c r="B4" s="673" t="s">
        <v>342</v>
      </c>
      <c r="C4" s="673"/>
      <c r="D4" s="673"/>
      <c r="E4" s="673"/>
      <c r="F4" s="673"/>
      <c r="G4" s="673"/>
      <c r="H4" s="673"/>
      <c r="I4" s="673"/>
    </row>
    <row r="5" spans="2:9" ht="15.75" thickTop="1">
      <c r="B5" s="420" t="s">
        <v>258</v>
      </c>
      <c r="C5" s="674" t="s">
        <v>67</v>
      </c>
      <c r="D5" s="681" t="s">
        <v>334</v>
      </c>
      <c r="E5" s="676"/>
      <c r="F5" s="677"/>
      <c r="G5" s="675" t="s">
        <v>257</v>
      </c>
      <c r="H5" s="676"/>
      <c r="I5" s="677"/>
    </row>
    <row r="6" spans="2:9" ht="15.75" customHeight="1" thickBot="1">
      <c r="B6" s="421" t="s">
        <v>259</v>
      </c>
      <c r="C6" s="630"/>
      <c r="D6" s="682" t="s">
        <v>335</v>
      </c>
      <c r="E6" s="682"/>
      <c r="F6" s="683"/>
      <c r="G6" s="678"/>
      <c r="H6" s="679"/>
      <c r="I6" s="680"/>
    </row>
    <row r="7" spans="2:9" ht="15.75" thickBot="1">
      <c r="B7" s="425" t="s">
        <v>256</v>
      </c>
      <c r="C7" s="631"/>
      <c r="D7" s="492" t="s">
        <v>343</v>
      </c>
      <c r="E7" s="492" t="s">
        <v>344</v>
      </c>
      <c r="F7" s="408" t="s">
        <v>345</v>
      </c>
      <c r="G7" s="563" t="s">
        <v>340</v>
      </c>
      <c r="H7" s="563" t="s">
        <v>332</v>
      </c>
      <c r="I7" s="593" t="s">
        <v>338</v>
      </c>
    </row>
    <row r="8" spans="2:9" ht="15">
      <c r="B8" s="426"/>
      <c r="C8" s="318"/>
      <c r="D8" s="246"/>
      <c r="E8" s="246"/>
      <c r="F8" s="416"/>
      <c r="G8" s="494"/>
      <c r="H8" s="246"/>
      <c r="I8" s="416"/>
    </row>
    <row r="9" spans="2:9" ht="15">
      <c r="B9" s="415" t="s">
        <v>245</v>
      </c>
      <c r="C9" s="320" t="s">
        <v>237</v>
      </c>
      <c r="D9" s="248">
        <v>86.03674000125068</v>
      </c>
      <c r="E9" s="248">
        <v>22.066247599120743</v>
      </c>
      <c r="F9" s="417">
        <v>28.789835767710656</v>
      </c>
      <c r="G9" s="495">
        <v>6.481774765669736</v>
      </c>
      <c r="H9" s="248">
        <v>0.29032467388177846</v>
      </c>
      <c r="I9" s="417">
        <v>0.5098653039557307</v>
      </c>
    </row>
    <row r="10" spans="2:9" ht="15">
      <c r="B10" s="415"/>
      <c r="C10" s="320"/>
      <c r="D10" s="248"/>
      <c r="E10" s="248"/>
      <c r="F10" s="417"/>
      <c r="G10" s="495"/>
      <c r="H10" s="248"/>
      <c r="I10" s="417"/>
    </row>
    <row r="11" spans="2:9" ht="15">
      <c r="B11" s="415" t="s">
        <v>246</v>
      </c>
      <c r="C11" s="320" t="s">
        <v>238</v>
      </c>
      <c r="D11" s="248">
        <v>287.2615904509951</v>
      </c>
      <c r="E11" s="248">
        <v>320.00271105534534</v>
      </c>
      <c r="F11" s="417">
        <v>1556.5195194094686</v>
      </c>
      <c r="G11" s="495">
        <v>21.641509523772605</v>
      </c>
      <c r="H11" s="248">
        <v>4.210261953741969</v>
      </c>
      <c r="I11" s="417">
        <v>27.565815389847366</v>
      </c>
    </row>
    <row r="12" spans="2:9" ht="15">
      <c r="B12" s="415"/>
      <c r="C12" s="320"/>
      <c r="D12" s="248"/>
      <c r="E12" s="248"/>
      <c r="F12" s="417"/>
      <c r="G12" s="495"/>
      <c r="H12" s="248"/>
      <c r="I12" s="417"/>
    </row>
    <row r="13" spans="2:9" ht="15">
      <c r="B13" s="415" t="s">
        <v>247</v>
      </c>
      <c r="C13" s="320" t="s">
        <v>239</v>
      </c>
      <c r="D13" s="248">
        <v>-53.48002067706193</v>
      </c>
      <c r="E13" s="248">
        <v>-419.5035084648048</v>
      </c>
      <c r="F13" s="417">
        <v>188.36964334566483</v>
      </c>
      <c r="G13" s="495">
        <v>-4.029039785643165</v>
      </c>
      <c r="H13" s="248">
        <v>-5.519389680561696</v>
      </c>
      <c r="I13" s="417">
        <v>3.3360087996121015</v>
      </c>
    </row>
    <row r="14" spans="2:9" ht="15">
      <c r="B14" s="415"/>
      <c r="C14" s="319"/>
      <c r="D14" s="247"/>
      <c r="E14" s="247"/>
      <c r="F14" s="418"/>
      <c r="G14" s="496"/>
      <c r="H14" s="247"/>
      <c r="I14" s="418"/>
    </row>
    <row r="15" spans="2:9" ht="15">
      <c r="B15" s="415" t="s">
        <v>248</v>
      </c>
      <c r="C15" s="320" t="s">
        <v>240</v>
      </c>
      <c r="D15" s="248">
        <v>77.02418761136846</v>
      </c>
      <c r="E15" s="248">
        <v>-98.50947560691384</v>
      </c>
      <c r="F15" s="417">
        <v>96.66538707388463</v>
      </c>
      <c r="G15" s="495">
        <v>5.802793499594733</v>
      </c>
      <c r="H15" s="248">
        <v>-1.296084948352608</v>
      </c>
      <c r="I15" s="417">
        <v>1.711934981501416</v>
      </c>
    </row>
    <row r="16" spans="2:9" ht="15">
      <c r="B16" s="415"/>
      <c r="C16" s="320"/>
      <c r="D16" s="248"/>
      <c r="E16" s="248"/>
      <c r="F16" s="417"/>
      <c r="G16" s="495"/>
      <c r="H16" s="248"/>
      <c r="I16" s="417"/>
    </row>
    <row r="17" spans="2:9" ht="15">
      <c r="B17" s="415" t="s">
        <v>249</v>
      </c>
      <c r="C17" s="320" t="s">
        <v>73</v>
      </c>
      <c r="D17" s="248">
        <v>6.226520344491291</v>
      </c>
      <c r="E17" s="248">
        <v>-3592.800140501718</v>
      </c>
      <c r="F17" s="417">
        <v>1067.4650935155928</v>
      </c>
      <c r="G17" s="495">
        <v>0.4690891640741642</v>
      </c>
      <c r="H17" s="248">
        <v>-47.27031745783238</v>
      </c>
      <c r="I17" s="417">
        <v>18.904707159805366</v>
      </c>
    </row>
    <row r="18" spans="2:9" ht="15">
      <c r="B18" s="415"/>
      <c r="C18" s="320"/>
      <c r="D18" s="248"/>
      <c r="E18" s="248"/>
      <c r="F18" s="417"/>
      <c r="G18" s="495"/>
      <c r="H18" s="248"/>
      <c r="I18" s="417"/>
    </row>
    <row r="19" spans="2:9" ht="30.75">
      <c r="B19" s="415" t="s">
        <v>250</v>
      </c>
      <c r="C19" s="321" t="s">
        <v>277</v>
      </c>
      <c r="D19" s="248">
        <v>156.09111309062882</v>
      </c>
      <c r="E19" s="248">
        <v>-1355.599190988948</v>
      </c>
      <c r="F19" s="417">
        <v>1212.9399973052787</v>
      </c>
      <c r="G19" s="495">
        <v>11.759481332758908</v>
      </c>
      <c r="H19" s="248">
        <v>-17.83556045360205</v>
      </c>
      <c r="I19" s="417">
        <v>21.48105412604431</v>
      </c>
    </row>
    <row r="20" spans="2:9" ht="15">
      <c r="B20" s="415"/>
      <c r="C20" s="320"/>
      <c r="D20" s="248"/>
      <c r="E20" s="248"/>
      <c r="F20" s="417"/>
      <c r="G20" s="495"/>
      <c r="H20" s="248"/>
      <c r="I20" s="417"/>
    </row>
    <row r="21" spans="2:9" ht="15">
      <c r="B21" s="415" t="s">
        <v>251</v>
      </c>
      <c r="C21" s="320" t="s">
        <v>48</v>
      </c>
      <c r="D21" s="248">
        <v>-3.9826504637877633</v>
      </c>
      <c r="E21" s="248">
        <v>-523.570716323847</v>
      </c>
      <c r="F21" s="417">
        <v>4.792349000004492</v>
      </c>
      <c r="G21" s="495">
        <v>-0.30004208988261455</v>
      </c>
      <c r="H21" s="248">
        <v>-6.888597473945995</v>
      </c>
      <c r="I21" s="417">
        <v>0.08487205343108262</v>
      </c>
    </row>
    <row r="22" spans="2:9" ht="15">
      <c r="B22" s="415"/>
      <c r="C22" s="320"/>
      <c r="D22" s="248"/>
      <c r="E22" s="248"/>
      <c r="F22" s="417"/>
      <c r="G22" s="495"/>
      <c r="H22" s="248"/>
      <c r="I22" s="417"/>
    </row>
    <row r="23" spans="2:9" ht="18.75" customHeight="1">
      <c r="B23" s="415" t="s">
        <v>252</v>
      </c>
      <c r="C23" s="320" t="s">
        <v>241</v>
      </c>
      <c r="D23" s="248">
        <v>360.2698306462098</v>
      </c>
      <c r="E23" s="248">
        <v>-674.3754976304863</v>
      </c>
      <c r="F23" s="417">
        <v>596.4435193965528</v>
      </c>
      <c r="G23" s="495">
        <v>27.14175243135394</v>
      </c>
      <c r="H23" s="248">
        <v>-8.87272951796455</v>
      </c>
      <c r="I23" s="417">
        <v>10.562959051354511</v>
      </c>
    </row>
    <row r="24" spans="2:9" ht="15">
      <c r="B24" s="415"/>
      <c r="C24" s="320"/>
      <c r="D24" s="248"/>
      <c r="E24" s="248"/>
      <c r="F24" s="417"/>
      <c r="G24" s="495"/>
      <c r="H24" s="248"/>
      <c r="I24" s="417"/>
    </row>
    <row r="25" spans="2:9" ht="15">
      <c r="B25" s="415" t="s">
        <v>253</v>
      </c>
      <c r="C25" s="320" t="s">
        <v>46</v>
      </c>
      <c r="D25" s="248">
        <v>100.26840967618318</v>
      </c>
      <c r="E25" s="248">
        <v>-43.020823407478474</v>
      </c>
      <c r="F25" s="417">
        <v>-93.09470890272632</v>
      </c>
      <c r="G25" s="495">
        <v>7.5539501801610776</v>
      </c>
      <c r="H25" s="248">
        <v>-0.5660231296597728</v>
      </c>
      <c r="I25" s="417">
        <v>-1.6486986044079566</v>
      </c>
    </row>
    <row r="26" spans="2:9" ht="15">
      <c r="B26" s="415"/>
      <c r="C26" s="319"/>
      <c r="D26" s="247"/>
      <c r="E26" s="247"/>
      <c r="F26" s="418"/>
      <c r="G26" s="496"/>
      <c r="H26" s="247"/>
      <c r="I26" s="418"/>
    </row>
    <row r="27" spans="2:9" ht="21.75" customHeight="1">
      <c r="B27" s="415" t="s">
        <v>254</v>
      </c>
      <c r="C27" s="320" t="s">
        <v>242</v>
      </c>
      <c r="D27" s="248">
        <v>123.10362836558124</v>
      </c>
      <c r="E27" s="248">
        <v>-726.9839166791317</v>
      </c>
      <c r="F27" s="417">
        <v>350.5843392940578</v>
      </c>
      <c r="G27" s="495">
        <v>9.274293655138614</v>
      </c>
      <c r="H27" s="248">
        <v>-9.564896232541907</v>
      </c>
      <c r="I27" s="417">
        <v>6.208815922345845</v>
      </c>
    </row>
    <row r="28" spans="2:9" ht="15">
      <c r="B28" s="415"/>
      <c r="C28" s="321"/>
      <c r="D28" s="248"/>
      <c r="E28" s="248"/>
      <c r="F28" s="417"/>
      <c r="G28" s="495"/>
      <c r="H28" s="248"/>
      <c r="I28" s="417"/>
    </row>
    <row r="29" spans="2:9" ht="15">
      <c r="B29" s="415" t="s">
        <v>255</v>
      </c>
      <c r="C29" s="320" t="s">
        <v>243</v>
      </c>
      <c r="D29" s="248">
        <v>-9.38700879137491</v>
      </c>
      <c r="E29" s="248">
        <v>-310.5474105156308</v>
      </c>
      <c r="F29" s="417">
        <v>172.95282691793972</v>
      </c>
      <c r="G29" s="495">
        <v>-0.7071917962973654</v>
      </c>
      <c r="H29" s="248">
        <v>-4.085858969803901</v>
      </c>
      <c r="I29" s="417">
        <v>3.0629784198150856</v>
      </c>
    </row>
    <row r="30" spans="2:9" ht="15">
      <c r="B30" s="427"/>
      <c r="C30" s="320"/>
      <c r="D30" s="248"/>
      <c r="E30" s="248"/>
      <c r="F30" s="417"/>
      <c r="G30" s="495"/>
      <c r="H30" s="248"/>
      <c r="I30" s="417"/>
    </row>
    <row r="31" spans="2:9" ht="15">
      <c r="B31" s="427"/>
      <c r="C31" s="320" t="s">
        <v>260</v>
      </c>
      <c r="D31" s="248">
        <v>174.42392180628667</v>
      </c>
      <c r="E31" s="248">
        <v>340.5369258310843</v>
      </c>
      <c r="F31" s="417">
        <v>211.1643217954038</v>
      </c>
      <c r="G31" s="495">
        <v>13.140625445323769</v>
      </c>
      <c r="H31" s="248">
        <v>4.480429737430862</v>
      </c>
      <c r="I31" s="417">
        <v>3.7397004271060053</v>
      </c>
    </row>
    <row r="32" spans="2:9" ht="15">
      <c r="B32" s="427"/>
      <c r="C32" s="320"/>
      <c r="D32" s="248"/>
      <c r="E32" s="248"/>
      <c r="F32" s="417"/>
      <c r="G32" s="495"/>
      <c r="H32" s="248"/>
      <c r="I32" s="417"/>
    </row>
    <row r="33" spans="2:9" ht="15">
      <c r="B33" s="427"/>
      <c r="C33" s="320" t="s">
        <v>261</v>
      </c>
      <c r="D33" s="248">
        <v>23.507663895716178</v>
      </c>
      <c r="E33" s="248">
        <v>-538.2367994313709</v>
      </c>
      <c r="F33" s="417">
        <v>252.96502447860848</v>
      </c>
      <c r="G33" s="495">
        <v>1.7710036739756025</v>
      </c>
      <c r="H33" s="248">
        <v>-7.081558500789751</v>
      </c>
      <c r="I33" s="417">
        <v>4.479986969589122</v>
      </c>
    </row>
    <row r="34" spans="2:9" ht="15.75" thickBot="1">
      <c r="B34" s="427"/>
      <c r="C34" s="322"/>
      <c r="D34" s="249"/>
      <c r="E34" s="249"/>
      <c r="F34" s="419"/>
      <c r="G34" s="497"/>
      <c r="H34" s="249"/>
      <c r="I34" s="419"/>
    </row>
    <row r="35" spans="2:9" ht="30" customHeight="1" thickBot="1">
      <c r="B35" s="428"/>
      <c r="C35" s="323" t="s">
        <v>244</v>
      </c>
      <c r="D35" s="493">
        <v>1245.4759543844411</v>
      </c>
      <c r="E35" s="493">
        <v>-7724.180460950534</v>
      </c>
      <c r="F35" s="493">
        <v>5416.577787747658</v>
      </c>
      <c r="G35" s="423">
        <v>100</v>
      </c>
      <c r="H35" s="424">
        <v>100</v>
      </c>
      <c r="I35" s="498">
        <v>100</v>
      </c>
    </row>
    <row r="36" ht="15">
      <c r="C36" s="100"/>
    </row>
    <row r="37" spans="3:9" ht="24.75" customHeight="1">
      <c r="C37" s="175" t="s">
        <v>262</v>
      </c>
      <c r="D37" s="175"/>
      <c r="E37" s="175"/>
      <c r="F37" s="175"/>
      <c r="G37" s="98"/>
      <c r="H37" s="98"/>
      <c r="I37" s="98"/>
    </row>
    <row r="38" spans="3:6" ht="30" customHeight="1">
      <c r="C38" s="175" t="s">
        <v>263</v>
      </c>
      <c r="D38" s="175"/>
      <c r="E38" s="175"/>
      <c r="F38" s="175"/>
    </row>
    <row r="39" ht="15">
      <c r="C39" s="103"/>
    </row>
    <row r="40" ht="12.75">
      <c r="C40" s="61" t="s">
        <v>264</v>
      </c>
    </row>
    <row r="42" spans="4:6" ht="12.75">
      <c r="D42" s="99"/>
      <c r="E42" s="99"/>
      <c r="F42" s="99"/>
    </row>
  </sheetData>
  <sheetProtection/>
  <mergeCells count="8">
    <mergeCell ref="B1:I1"/>
    <mergeCell ref="B2:I2"/>
    <mergeCell ref="B3:I3"/>
    <mergeCell ref="B4:I4"/>
    <mergeCell ref="C5:C7"/>
    <mergeCell ref="G5:I6"/>
    <mergeCell ref="D5:F5"/>
    <mergeCell ref="D6:F6"/>
  </mergeCells>
  <printOptions/>
  <pageMargins left="0.75" right="0.75" top="1" bottom="1" header="0" footer="0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J50"/>
  <sheetViews>
    <sheetView zoomScalePageLayoutView="0" workbookViewId="0" topLeftCell="B1">
      <selection activeCell="H43" sqref="H43"/>
    </sheetView>
  </sheetViews>
  <sheetFormatPr defaultColWidth="11.421875" defaultRowHeight="12.75"/>
  <cols>
    <col min="2" max="2" width="23.7109375" style="0" customWidth="1"/>
    <col min="3" max="3" width="30.57421875" style="0" customWidth="1"/>
    <col min="4" max="4" width="20.28125" style="0" customWidth="1"/>
    <col min="5" max="5" width="19.28125" style="0" customWidth="1"/>
    <col min="6" max="6" width="20.57421875" style="0" customWidth="1"/>
  </cols>
  <sheetData>
    <row r="1" spans="2:6" ht="15">
      <c r="B1" s="672" t="s">
        <v>26</v>
      </c>
      <c r="C1" s="672"/>
      <c r="D1" s="672"/>
      <c r="E1" s="672"/>
      <c r="F1" s="672"/>
    </row>
    <row r="3" spans="2:6" ht="13.5">
      <c r="B3" s="697" t="s">
        <v>289</v>
      </c>
      <c r="C3" s="697"/>
      <c r="D3" s="697"/>
      <c r="E3" s="697"/>
      <c r="F3" s="697"/>
    </row>
    <row r="4" spans="2:6" ht="13.5">
      <c r="B4" s="698" t="s">
        <v>299</v>
      </c>
      <c r="C4" s="698"/>
      <c r="D4" s="698"/>
      <c r="E4" s="698"/>
      <c r="F4" s="698"/>
    </row>
    <row r="5" spans="2:6" ht="13.5">
      <c r="B5" s="699" t="s">
        <v>347</v>
      </c>
      <c r="C5" s="699"/>
      <c r="D5" s="699"/>
      <c r="E5" s="699"/>
      <c r="F5" s="699"/>
    </row>
    <row r="6" spans="2:6" ht="13.5" thickBot="1">
      <c r="B6" s="433"/>
      <c r="C6" s="433"/>
      <c r="D6" s="433"/>
      <c r="E6" s="433"/>
      <c r="F6" s="433"/>
    </row>
    <row r="7" spans="2:6" ht="14.25" thickTop="1">
      <c r="B7" s="434"/>
      <c r="C7" s="700" t="s">
        <v>266</v>
      </c>
      <c r="D7" s="701"/>
      <c r="E7" s="702" t="s">
        <v>267</v>
      </c>
      <c r="F7" s="703"/>
    </row>
    <row r="8" spans="2:6" ht="13.5">
      <c r="B8" s="435"/>
      <c r="C8" s="706" t="s">
        <v>268</v>
      </c>
      <c r="D8" s="707"/>
      <c r="E8" s="704"/>
      <c r="F8" s="705"/>
    </row>
    <row r="9" spans="2:6" ht="13.5">
      <c r="B9" s="435"/>
      <c r="C9" s="684" t="s">
        <v>300</v>
      </c>
      <c r="D9" s="687" t="s">
        <v>301</v>
      </c>
      <c r="E9" s="690" t="s">
        <v>271</v>
      </c>
      <c r="F9" s="693" t="s">
        <v>272</v>
      </c>
    </row>
    <row r="10" spans="2:6" ht="13.5">
      <c r="B10" s="442" t="s">
        <v>53</v>
      </c>
      <c r="C10" s="685"/>
      <c r="D10" s="688"/>
      <c r="E10" s="691"/>
      <c r="F10" s="694"/>
    </row>
    <row r="11" spans="2:10" ht="13.5">
      <c r="B11" s="435"/>
      <c r="C11" s="685"/>
      <c r="D11" s="688"/>
      <c r="E11" s="691"/>
      <c r="F11" s="694"/>
      <c r="J11" s="429"/>
    </row>
    <row r="12" spans="2:6" ht="13.5">
      <c r="B12" s="435"/>
      <c r="C12" s="685"/>
      <c r="D12" s="688"/>
      <c r="E12" s="691"/>
      <c r="F12" s="694"/>
    </row>
    <row r="13" spans="2:6" ht="14.25" thickBot="1">
      <c r="B13" s="441"/>
      <c r="C13" s="686"/>
      <c r="D13" s="689"/>
      <c r="E13" s="692"/>
      <c r="F13" s="695"/>
    </row>
    <row r="14" spans="2:6" ht="13.5">
      <c r="B14" s="437"/>
      <c r="C14" s="445"/>
      <c r="D14" s="436"/>
      <c r="E14" s="443"/>
      <c r="F14" s="440"/>
    </row>
    <row r="15" spans="2:6" ht="13.5">
      <c r="B15" s="463">
        <v>2007</v>
      </c>
      <c r="C15" s="447">
        <v>21296</v>
      </c>
      <c r="D15" s="558">
        <v>6127.034272765544</v>
      </c>
      <c r="E15" s="449"/>
      <c r="F15" s="450"/>
    </row>
    <row r="16" spans="2:6" ht="13.5">
      <c r="B16" s="462"/>
      <c r="C16" s="451"/>
      <c r="D16" s="452"/>
      <c r="E16" s="453"/>
      <c r="F16" s="454"/>
    </row>
    <row r="17" spans="2:6" ht="13.5">
      <c r="B17" s="463">
        <v>2008</v>
      </c>
      <c r="C17" s="447">
        <v>25155.88861632197</v>
      </c>
      <c r="D17" s="448">
        <v>7110.228422702059</v>
      </c>
      <c r="E17" s="455">
        <v>18.125034017359965</v>
      </c>
      <c r="F17" s="448">
        <v>16.046819817979127</v>
      </c>
    </row>
    <row r="18" spans="2:6" ht="13.5">
      <c r="B18" s="463"/>
      <c r="C18" s="451"/>
      <c r="D18" s="452"/>
      <c r="E18" s="455"/>
      <c r="F18" s="456"/>
    </row>
    <row r="19" spans="2:6" ht="13.5">
      <c r="B19" s="463">
        <v>2009</v>
      </c>
      <c r="C19" s="457">
        <v>27116.63556517424</v>
      </c>
      <c r="D19" s="448">
        <v>7532.398768103955</v>
      </c>
      <c r="E19" s="455">
        <v>7.794385556231461</v>
      </c>
      <c r="F19" s="448">
        <v>5.937507493485853</v>
      </c>
    </row>
    <row r="20" spans="2:6" ht="13.5">
      <c r="B20" s="463"/>
      <c r="C20" s="451"/>
      <c r="D20" s="452"/>
      <c r="E20" s="455"/>
      <c r="F20" s="456"/>
    </row>
    <row r="21" spans="2:6" ht="13.5">
      <c r="B21" s="463">
        <v>2010</v>
      </c>
      <c r="C21" s="447">
        <v>29440.287581267465</v>
      </c>
      <c r="D21" s="448">
        <v>8039.763556049757</v>
      </c>
      <c r="E21" s="455">
        <v>8.569101467283332</v>
      </c>
      <c r="F21" s="448">
        <v>6.7357664346482125</v>
      </c>
    </row>
    <row r="22" spans="2:6" ht="13.5">
      <c r="B22" s="463"/>
      <c r="C22" s="451"/>
      <c r="D22" s="452"/>
      <c r="E22" s="455"/>
      <c r="F22" s="456"/>
    </row>
    <row r="23" spans="2:6" ht="13.5">
      <c r="B23" s="463">
        <v>2011</v>
      </c>
      <c r="C23" s="451">
        <v>34686.224301177346</v>
      </c>
      <c r="D23" s="448">
        <v>9314.68625940327</v>
      </c>
      <c r="E23" s="455">
        <v>17.81890447037553</v>
      </c>
      <c r="F23" s="448">
        <v>15.8577139049588</v>
      </c>
    </row>
    <row r="24" spans="2:6" ht="13.5">
      <c r="B24" s="463"/>
      <c r="C24" s="451"/>
      <c r="D24" s="458"/>
      <c r="E24" s="455"/>
      <c r="F24" s="459"/>
    </row>
    <row r="25" spans="2:6" ht="13.5">
      <c r="B25" s="463">
        <v>2012</v>
      </c>
      <c r="C25" s="451">
        <v>40429.734384218355</v>
      </c>
      <c r="D25" s="448">
        <v>10674.486327358087</v>
      </c>
      <c r="E25" s="455">
        <v>16.55847587552519</v>
      </c>
      <c r="F25" s="448">
        <v>14.59845270238796</v>
      </c>
    </row>
    <row r="26" spans="2:6" ht="13.5">
      <c r="B26" s="463"/>
      <c r="C26" s="451"/>
      <c r="D26" s="460"/>
      <c r="E26" s="461"/>
      <c r="F26" s="460"/>
    </row>
    <row r="27" spans="2:6" ht="13.5">
      <c r="B27" s="463">
        <v>2013</v>
      </c>
      <c r="C27" s="451">
        <v>45599.99400488734</v>
      </c>
      <c r="D27" s="448">
        <v>11841.893561849189</v>
      </c>
      <c r="E27" s="455">
        <v>12.788260173896134</v>
      </c>
      <c r="F27" s="448">
        <v>10.93642540436916</v>
      </c>
    </row>
    <row r="28" spans="2:6" ht="13.5">
      <c r="B28" s="463"/>
      <c r="C28" s="451"/>
      <c r="D28" s="460"/>
      <c r="E28" s="455"/>
      <c r="F28" s="448"/>
    </row>
    <row r="29" spans="2:6" ht="13.5">
      <c r="B29" s="463">
        <v>2014</v>
      </c>
      <c r="C29" s="451">
        <v>49921.46436532035</v>
      </c>
      <c r="D29" s="448">
        <v>12756.952773653871</v>
      </c>
      <c r="E29" s="455">
        <v>9.476909931106235</v>
      </c>
      <c r="F29" s="460">
        <v>7.727304818485379</v>
      </c>
    </row>
    <row r="30" spans="2:6" ht="13.5">
      <c r="B30" s="499"/>
      <c r="C30" s="500"/>
      <c r="D30" s="503"/>
      <c r="E30" s="501"/>
      <c r="F30" s="504"/>
    </row>
    <row r="31" spans="2:6" ht="13.5">
      <c r="B31" s="502">
        <v>2015</v>
      </c>
      <c r="C31" s="451">
        <v>54091.71377556341</v>
      </c>
      <c r="D31" s="460">
        <v>13606.5953989993</v>
      </c>
      <c r="E31" s="455">
        <v>8.353619957390634</v>
      </c>
      <c r="F31" s="460">
        <v>6.660231800027844</v>
      </c>
    </row>
    <row r="32" spans="2:6" ht="13.5">
      <c r="B32" s="499"/>
      <c r="C32" s="500"/>
      <c r="D32" s="504"/>
      <c r="E32" s="501"/>
      <c r="F32" s="504"/>
    </row>
    <row r="33" spans="2:6" ht="13.5">
      <c r="B33" s="502">
        <v>2016</v>
      </c>
      <c r="C33" s="451">
        <v>57907.69540893924</v>
      </c>
      <c r="D33" s="460">
        <v>14344.086849939235</v>
      </c>
      <c r="E33" s="455">
        <v>7.054651012184692</v>
      </c>
      <c r="F33" s="460">
        <v>5.420102746600179</v>
      </c>
    </row>
    <row r="34" spans="2:6" ht="13.5">
      <c r="B34" s="499"/>
      <c r="C34" s="500"/>
      <c r="D34" s="504"/>
      <c r="E34" s="501"/>
      <c r="F34" s="504"/>
    </row>
    <row r="35" spans="2:6" ht="13.5">
      <c r="B35" s="502">
        <v>2017</v>
      </c>
      <c r="C35" s="451">
        <v>62202.725204464616</v>
      </c>
      <c r="D35" s="460">
        <v>15178.300667124098</v>
      </c>
      <c r="E35" s="455">
        <v>7.417027676881702</v>
      </c>
      <c r="F35" s="460">
        <v>5.815733172226274</v>
      </c>
    </row>
    <row r="36" spans="2:6" ht="13.5">
      <c r="B36" s="499"/>
      <c r="C36" s="500"/>
      <c r="D36" s="504"/>
      <c r="E36" s="501"/>
      <c r="F36" s="504"/>
    </row>
    <row r="37" spans="2:6" ht="13.5">
      <c r="B37" s="502">
        <v>2018</v>
      </c>
      <c r="C37" s="451">
        <v>64929.409212456594</v>
      </c>
      <c r="D37" s="460">
        <v>15612.598496352563</v>
      </c>
      <c r="E37" s="455">
        <v>4.3835442885005165</v>
      </c>
      <c r="F37" s="460">
        <v>2.861307327829806</v>
      </c>
    </row>
    <row r="38" spans="2:6" ht="13.5">
      <c r="B38" s="499"/>
      <c r="C38" s="500"/>
      <c r="D38" s="504"/>
      <c r="E38" s="501"/>
      <c r="F38" s="504"/>
    </row>
    <row r="39" spans="2:6" ht="13.5">
      <c r="B39" s="502" t="s">
        <v>340</v>
      </c>
      <c r="C39" s="451">
        <v>66984.42715032099</v>
      </c>
      <c r="D39" s="460">
        <v>15877.571852125291</v>
      </c>
      <c r="E39" s="455">
        <v>3.165003290173402</v>
      </c>
      <c r="F39" s="460">
        <v>1.6971765195565212</v>
      </c>
    </row>
    <row r="40" spans="2:6" ht="13.5">
      <c r="B40" s="499"/>
      <c r="C40" s="500"/>
      <c r="D40" s="504"/>
      <c r="E40" s="501"/>
      <c r="F40" s="504"/>
    </row>
    <row r="41" spans="2:6" ht="13.5">
      <c r="B41" s="502" t="s">
        <v>332</v>
      </c>
      <c r="C41" s="451">
        <v>53977.03699517292</v>
      </c>
      <c r="D41" s="460">
        <v>12615.878694676387</v>
      </c>
      <c r="E41" s="455">
        <v>-19.41852861704399</v>
      </c>
      <c r="F41" s="460">
        <v>-20.542770568613804</v>
      </c>
    </row>
    <row r="42" spans="2:6" ht="13.5">
      <c r="B42" s="609"/>
      <c r="C42" s="610"/>
      <c r="D42" s="503"/>
      <c r="E42" s="611"/>
      <c r="F42" s="503"/>
    </row>
    <row r="43" spans="2:6" ht="13.5">
      <c r="B43" s="502" t="s">
        <v>338</v>
      </c>
      <c r="C43" s="610">
        <v>63605.06578060272</v>
      </c>
      <c r="D43" s="503">
        <v>14664.309907950217</v>
      </c>
      <c r="E43" s="611">
        <v>17.837268070662745</v>
      </c>
      <c r="F43" s="503">
        <v>16.236928579047145</v>
      </c>
    </row>
    <row r="44" spans="2:6" ht="14.25" thickBot="1">
      <c r="B44" s="594"/>
      <c r="C44" s="595"/>
      <c r="D44" s="596"/>
      <c r="E44" s="597"/>
      <c r="F44" s="596"/>
    </row>
    <row r="45" spans="3:6" ht="13.5">
      <c r="C45" s="431"/>
      <c r="D45" s="431"/>
      <c r="E45" s="557"/>
      <c r="F45" s="431"/>
    </row>
    <row r="46" spans="2:6" ht="12.75">
      <c r="B46" s="696" t="s">
        <v>302</v>
      </c>
      <c r="C46" s="696"/>
      <c r="D46" s="696"/>
      <c r="E46" s="696"/>
      <c r="F46" s="696"/>
    </row>
    <row r="47" spans="2:6" ht="12.75">
      <c r="B47" s="559" t="s">
        <v>303</v>
      </c>
      <c r="C47" s="433"/>
      <c r="D47" s="433"/>
      <c r="E47" s="433"/>
      <c r="F47" s="433"/>
    </row>
    <row r="48" spans="2:6" ht="13.5">
      <c r="B48" s="432"/>
      <c r="C48" s="432"/>
      <c r="D48" s="432"/>
      <c r="E48" s="432"/>
      <c r="F48" s="432"/>
    </row>
    <row r="50" ht="12.75">
      <c r="B50" s="61" t="s">
        <v>264</v>
      </c>
    </row>
  </sheetData>
  <sheetProtection/>
  <mergeCells count="12">
    <mergeCell ref="E7:F8"/>
    <mergeCell ref="C8:D8"/>
    <mergeCell ref="B1:F1"/>
    <mergeCell ref="C9:C13"/>
    <mergeCell ref="D9:D13"/>
    <mergeCell ref="E9:E13"/>
    <mergeCell ref="F9:F13"/>
    <mergeCell ref="B46:F46"/>
    <mergeCell ref="B3:F3"/>
    <mergeCell ref="B4:F4"/>
    <mergeCell ref="B5:F5"/>
    <mergeCell ref="C7:D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1"/>
  </sheetPr>
  <dimension ref="B1:P52"/>
  <sheetViews>
    <sheetView zoomScalePageLayoutView="0" workbookViewId="0" topLeftCell="A1">
      <selection activeCell="H16" sqref="H16"/>
    </sheetView>
  </sheetViews>
  <sheetFormatPr defaultColWidth="11.421875" defaultRowHeight="12.75"/>
  <cols>
    <col min="1" max="1" width="4.140625" style="0" customWidth="1"/>
    <col min="2" max="2" width="17.57421875" style="0" customWidth="1"/>
    <col min="3" max="3" width="21.7109375" style="0" customWidth="1"/>
    <col min="4" max="4" width="21.57421875" style="0" customWidth="1"/>
    <col min="5" max="6" width="17.57421875" style="0" customWidth="1"/>
    <col min="10" max="10" width="11.7109375" style="0" bestFit="1" customWidth="1"/>
  </cols>
  <sheetData>
    <row r="1" spans="2:9" ht="15">
      <c r="B1" s="672" t="s">
        <v>304</v>
      </c>
      <c r="C1" s="672"/>
      <c r="D1" s="672"/>
      <c r="E1" s="672"/>
      <c r="F1" s="672"/>
      <c r="G1" s="422"/>
      <c r="H1" s="422"/>
      <c r="I1" s="422"/>
    </row>
    <row r="3" spans="2:6" ht="13.5">
      <c r="B3" s="697" t="s">
        <v>289</v>
      </c>
      <c r="C3" s="697"/>
      <c r="D3" s="697"/>
      <c r="E3" s="697"/>
      <c r="F3" s="697"/>
    </row>
    <row r="4" spans="2:6" ht="13.5">
      <c r="B4" s="698" t="s">
        <v>290</v>
      </c>
      <c r="C4" s="698"/>
      <c r="D4" s="698"/>
      <c r="E4" s="698"/>
      <c r="F4" s="698"/>
    </row>
    <row r="5" spans="2:6" ht="13.5">
      <c r="B5" s="699" t="s">
        <v>348</v>
      </c>
      <c r="C5" s="699"/>
      <c r="D5" s="699"/>
      <c r="E5" s="699"/>
      <c r="F5" s="699"/>
    </row>
    <row r="6" spans="2:6" ht="13.5">
      <c r="B6" s="429"/>
      <c r="C6" s="430"/>
      <c r="D6" s="430"/>
      <c r="E6" s="430"/>
      <c r="F6" s="430"/>
    </row>
    <row r="7" spans="2:6" ht="12.75">
      <c r="B7" s="708" t="s">
        <v>265</v>
      </c>
      <c r="C7" s="708"/>
      <c r="D7" s="708"/>
      <c r="E7" s="708"/>
      <c r="F7" s="708"/>
    </row>
    <row r="8" spans="2:6" ht="13.5" thickBot="1">
      <c r="B8" s="433"/>
      <c r="C8" s="433"/>
      <c r="D8" s="433"/>
      <c r="E8" s="433"/>
      <c r="F8" s="433"/>
    </row>
    <row r="9" spans="2:6" ht="14.25" thickTop="1">
      <c r="B9" s="434"/>
      <c r="C9" s="700" t="s">
        <v>266</v>
      </c>
      <c r="D9" s="701"/>
      <c r="E9" s="702" t="s">
        <v>267</v>
      </c>
      <c r="F9" s="703"/>
    </row>
    <row r="10" spans="2:6" ht="13.5">
      <c r="B10" s="435"/>
      <c r="C10" s="706" t="s">
        <v>268</v>
      </c>
      <c r="D10" s="707"/>
      <c r="E10" s="704"/>
      <c r="F10" s="705"/>
    </row>
    <row r="11" spans="2:6" ht="13.5">
      <c r="B11" s="435"/>
      <c r="C11" s="684" t="s">
        <v>269</v>
      </c>
      <c r="D11" s="687" t="s">
        <v>270</v>
      </c>
      <c r="E11" s="690" t="s">
        <v>271</v>
      </c>
      <c r="F11" s="693" t="s">
        <v>272</v>
      </c>
    </row>
    <row r="12" spans="2:6" ht="13.5">
      <c r="B12" s="442" t="s">
        <v>53</v>
      </c>
      <c r="C12" s="685"/>
      <c r="D12" s="688"/>
      <c r="E12" s="691"/>
      <c r="F12" s="694"/>
    </row>
    <row r="13" spans="2:6" ht="13.5">
      <c r="B13" s="435"/>
      <c r="C13" s="685"/>
      <c r="D13" s="688"/>
      <c r="E13" s="691"/>
      <c r="F13" s="694"/>
    </row>
    <row r="14" spans="2:6" ht="13.5">
      <c r="B14" s="435"/>
      <c r="C14" s="685"/>
      <c r="D14" s="688"/>
      <c r="E14" s="691"/>
      <c r="F14" s="694"/>
    </row>
    <row r="15" spans="2:6" ht="14.25" thickBot="1">
      <c r="B15" s="441"/>
      <c r="C15" s="686"/>
      <c r="D15" s="689"/>
      <c r="E15" s="692"/>
      <c r="F15" s="695"/>
    </row>
    <row r="16" spans="2:6" ht="13.5">
      <c r="B16" s="437"/>
      <c r="C16" s="445"/>
      <c r="D16" s="436"/>
      <c r="E16" s="443"/>
      <c r="F16" s="440"/>
    </row>
    <row r="17" spans="2:11" ht="13.5">
      <c r="B17" s="463">
        <v>2007</v>
      </c>
      <c r="C17" s="447">
        <v>21296</v>
      </c>
      <c r="D17" s="448">
        <v>6127</v>
      </c>
      <c r="E17" s="449"/>
      <c r="F17" s="450"/>
      <c r="H17" s="505"/>
      <c r="K17" s="505"/>
    </row>
    <row r="18" spans="2:8" ht="13.5">
      <c r="B18" s="462"/>
      <c r="C18" s="451"/>
      <c r="D18" s="452"/>
      <c r="E18" s="453"/>
      <c r="F18" s="454"/>
      <c r="H18" s="505"/>
    </row>
    <row r="19" spans="2:16" ht="13.5">
      <c r="B19" s="463">
        <v>2008</v>
      </c>
      <c r="C19" s="447">
        <v>23394.8</v>
      </c>
      <c r="D19" s="448">
        <v>6612.5</v>
      </c>
      <c r="E19" s="455">
        <v>9.9</v>
      </c>
      <c r="F19" s="448">
        <v>7.9</v>
      </c>
      <c r="G19" s="507"/>
      <c r="H19" s="505"/>
      <c r="J19" s="506"/>
      <c r="K19" s="505"/>
      <c r="P19" s="507"/>
    </row>
    <row r="20" spans="2:16" ht="13.5">
      <c r="B20" s="463"/>
      <c r="C20" s="451"/>
      <c r="D20" s="452"/>
      <c r="E20" s="455"/>
      <c r="F20" s="456"/>
      <c r="G20" s="507"/>
      <c r="H20" s="505"/>
      <c r="J20" s="506"/>
      <c r="K20" s="505"/>
      <c r="P20" s="507"/>
    </row>
    <row r="21" spans="2:16" ht="13.5">
      <c r="B21" s="463">
        <v>2009</v>
      </c>
      <c r="C21" s="457">
        <v>23685.6</v>
      </c>
      <c r="D21" s="448">
        <v>6579.3</v>
      </c>
      <c r="E21" s="455">
        <v>1.2</v>
      </c>
      <c r="F21" s="448">
        <v>-0.5</v>
      </c>
      <c r="G21" s="507"/>
      <c r="H21" s="505"/>
      <c r="J21" s="506"/>
      <c r="K21" s="505"/>
      <c r="P21" s="507"/>
    </row>
    <row r="22" spans="2:16" ht="13.5">
      <c r="B22" s="463"/>
      <c r="C22" s="451"/>
      <c r="D22" s="452"/>
      <c r="E22" s="455"/>
      <c r="F22" s="456"/>
      <c r="G22" s="507"/>
      <c r="H22" s="505"/>
      <c r="J22" s="506"/>
      <c r="K22" s="505"/>
      <c r="P22" s="507"/>
    </row>
    <row r="23" spans="2:16" ht="13.5">
      <c r="B23" s="463">
        <v>2010</v>
      </c>
      <c r="C23" s="447">
        <v>25066</v>
      </c>
      <c r="D23" s="448">
        <v>6845.2</v>
      </c>
      <c r="E23" s="455">
        <v>5.8</v>
      </c>
      <c r="F23" s="448">
        <v>4</v>
      </c>
      <c r="G23" s="507"/>
      <c r="H23" s="505"/>
      <c r="J23" s="506"/>
      <c r="K23" s="505"/>
      <c r="P23" s="507"/>
    </row>
    <row r="24" spans="2:16" ht="13.5">
      <c r="B24" s="463"/>
      <c r="C24" s="451"/>
      <c r="D24" s="452"/>
      <c r="E24" s="455"/>
      <c r="F24" s="456"/>
      <c r="G24" s="507"/>
      <c r="H24" s="505"/>
      <c r="J24" s="506"/>
      <c r="K24" s="505"/>
      <c r="P24" s="507"/>
    </row>
    <row r="25" spans="2:16" ht="13.5">
      <c r="B25" s="463">
        <v>2011</v>
      </c>
      <c r="C25" s="451">
        <v>27901.9</v>
      </c>
      <c r="D25" s="448">
        <v>7492.8</v>
      </c>
      <c r="E25" s="455">
        <v>11.3</v>
      </c>
      <c r="F25" s="448">
        <v>9.5</v>
      </c>
      <c r="G25" s="507"/>
      <c r="H25" s="505"/>
      <c r="J25" s="506"/>
      <c r="K25" s="505"/>
      <c r="P25" s="507"/>
    </row>
    <row r="26" spans="2:16" ht="13.5">
      <c r="B26" s="463"/>
      <c r="C26" s="451"/>
      <c r="D26" s="458"/>
      <c r="E26" s="455"/>
      <c r="F26" s="459"/>
      <c r="G26" s="507"/>
      <c r="H26" s="505"/>
      <c r="J26" s="506"/>
      <c r="K26" s="505"/>
      <c r="P26" s="507"/>
    </row>
    <row r="27" spans="2:16" ht="13.5">
      <c r="B27" s="463">
        <v>2012</v>
      </c>
      <c r="C27" s="451">
        <v>30630.4</v>
      </c>
      <c r="D27" s="448">
        <v>8087.2</v>
      </c>
      <c r="E27" s="455">
        <v>9.8</v>
      </c>
      <c r="F27" s="448">
        <v>7.9</v>
      </c>
      <c r="H27" s="505"/>
      <c r="J27" s="506"/>
      <c r="K27" s="505"/>
      <c r="P27" s="507"/>
    </row>
    <row r="28" spans="2:16" ht="13.5">
      <c r="B28" s="463"/>
      <c r="C28" s="451"/>
      <c r="D28" s="460"/>
      <c r="E28" s="461"/>
      <c r="F28" s="460"/>
      <c r="H28" s="505"/>
      <c r="J28" s="506"/>
      <c r="K28" s="505"/>
      <c r="P28" s="507"/>
    </row>
    <row r="29" spans="2:16" ht="13.5">
      <c r="B29" s="463">
        <v>2013</v>
      </c>
      <c r="C29" s="451">
        <v>32744.9</v>
      </c>
      <c r="D29" s="448">
        <v>8503.6</v>
      </c>
      <c r="E29" s="455">
        <v>6.9</v>
      </c>
      <c r="F29" s="448">
        <v>5.1</v>
      </c>
      <c r="H29" s="505"/>
      <c r="J29" s="506"/>
      <c r="K29" s="505"/>
      <c r="P29" s="507"/>
    </row>
    <row r="30" spans="2:16" ht="13.5">
      <c r="B30" s="463"/>
      <c r="C30" s="451"/>
      <c r="D30" s="460"/>
      <c r="E30" s="455"/>
      <c r="F30" s="448"/>
      <c r="H30" s="505"/>
      <c r="J30" s="506"/>
      <c r="K30" s="505"/>
      <c r="P30" s="507"/>
    </row>
    <row r="31" spans="2:16" ht="13.5">
      <c r="B31" s="463">
        <v>2014</v>
      </c>
      <c r="C31" s="451">
        <v>34404</v>
      </c>
      <c r="D31" s="448">
        <v>8791.6</v>
      </c>
      <c r="E31" s="455">
        <v>5.1</v>
      </c>
      <c r="F31" s="460">
        <v>3.4</v>
      </c>
      <c r="H31" s="505"/>
      <c r="J31" s="506"/>
      <c r="K31" s="505"/>
      <c r="P31" s="507"/>
    </row>
    <row r="32" spans="2:8" ht="13.5">
      <c r="B32" s="499"/>
      <c r="C32" s="500"/>
      <c r="D32" s="503"/>
      <c r="E32" s="501"/>
      <c r="F32" s="504"/>
      <c r="H32" s="505"/>
    </row>
    <row r="33" spans="2:8" ht="13.5">
      <c r="B33" s="502">
        <v>2015</v>
      </c>
      <c r="C33" s="451">
        <v>36376.3</v>
      </c>
      <c r="D33" s="460">
        <v>9150.3</v>
      </c>
      <c r="E33" s="455">
        <v>5.7</v>
      </c>
      <c r="F33" s="460">
        <v>4.1</v>
      </c>
      <c r="H33" s="505"/>
    </row>
    <row r="34" spans="2:8" ht="13.5">
      <c r="B34" s="499"/>
      <c r="C34" s="500"/>
      <c r="D34" s="504"/>
      <c r="E34" s="501"/>
      <c r="F34" s="504"/>
      <c r="H34" s="505"/>
    </row>
    <row r="35" spans="2:8" ht="13.5">
      <c r="B35" s="502">
        <v>2016</v>
      </c>
      <c r="C35" s="451">
        <v>38178.15400594258</v>
      </c>
      <c r="D35" s="460">
        <v>9456.959959540332</v>
      </c>
      <c r="E35" s="455">
        <v>4.953434936877656</v>
      </c>
      <c r="F35" s="460">
        <v>3.350968781309277</v>
      </c>
      <c r="H35" s="505"/>
    </row>
    <row r="36" spans="2:8" ht="13.5">
      <c r="B36" s="499"/>
      <c r="C36" s="500"/>
      <c r="D36" s="504"/>
      <c r="E36" s="501"/>
      <c r="F36" s="504"/>
      <c r="H36" s="505"/>
    </row>
    <row r="37" spans="2:8" ht="13.5">
      <c r="B37" s="502">
        <v>2017</v>
      </c>
      <c r="C37" s="451">
        <v>40312.81992528528</v>
      </c>
      <c r="D37" s="460">
        <v>9836.86967981418</v>
      </c>
      <c r="E37" s="455">
        <v>5.591328273783034</v>
      </c>
      <c r="F37" s="460">
        <v>4.017249960867048</v>
      </c>
      <c r="H37" s="505"/>
    </row>
    <row r="38" spans="2:8" ht="13.5">
      <c r="B38" s="499"/>
      <c r="C38" s="500"/>
      <c r="D38" s="504"/>
      <c r="E38" s="501"/>
      <c r="F38" s="504"/>
      <c r="H38" s="505"/>
    </row>
    <row r="39" spans="2:8" ht="13.5">
      <c r="B39" s="502">
        <v>2018</v>
      </c>
      <c r="C39" s="451">
        <v>41798.48615617004</v>
      </c>
      <c r="D39" s="460">
        <v>10050.653317609993</v>
      </c>
      <c r="E39" s="455">
        <v>3.685344348617363</v>
      </c>
      <c r="F39" s="460">
        <v>2.173289316158346</v>
      </c>
      <c r="H39" s="505"/>
    </row>
    <row r="40" spans="2:8" ht="13.5">
      <c r="B40" s="499"/>
      <c r="C40" s="500"/>
      <c r="D40" s="504"/>
      <c r="E40" s="501"/>
      <c r="F40" s="504"/>
      <c r="H40" s="505"/>
    </row>
    <row r="41" spans="2:8" ht="13.5">
      <c r="B41" s="502" t="s">
        <v>340</v>
      </c>
      <c r="C41" s="451">
        <v>43043.96211055448</v>
      </c>
      <c r="D41" s="460">
        <v>10202.872970411188</v>
      </c>
      <c r="E41" s="455">
        <v>2.979715460820813</v>
      </c>
      <c r="F41" s="460">
        <v>1.514524956646241</v>
      </c>
      <c r="H41" s="505"/>
    </row>
    <row r="42" spans="2:8" ht="13.5">
      <c r="B42" s="499"/>
      <c r="C42" s="500"/>
      <c r="D42" s="504"/>
      <c r="E42" s="501"/>
      <c r="F42" s="504"/>
      <c r="H42" s="505"/>
    </row>
    <row r="43" spans="2:8" ht="13.5">
      <c r="B43" s="502" t="s">
        <v>332</v>
      </c>
      <c r="C43" s="451">
        <v>35319.781649603945</v>
      </c>
      <c r="D43" s="460">
        <v>8255.178602221325</v>
      </c>
      <c r="E43" s="455">
        <v>-17.94486400000001</v>
      </c>
      <c r="F43" s="460">
        <v>-19.089665958189116</v>
      </c>
      <c r="H43" s="505"/>
    </row>
    <row r="44" spans="2:8" ht="13.5">
      <c r="B44" s="499"/>
      <c r="C44" s="500"/>
      <c r="D44" s="504"/>
      <c r="E44" s="501"/>
      <c r="F44" s="504"/>
      <c r="H44" s="505"/>
    </row>
    <row r="45" spans="2:8" ht="13.5">
      <c r="B45" s="502" t="s">
        <v>338</v>
      </c>
      <c r="C45" s="451">
        <v>40736.3594373516</v>
      </c>
      <c r="D45" s="460">
        <v>9391.871417467399</v>
      </c>
      <c r="E45" s="455">
        <v>15.335819007840314</v>
      </c>
      <c r="F45" s="460">
        <v>13.769451516654144</v>
      </c>
      <c r="H45" s="505"/>
    </row>
    <row r="46" spans="2:6" ht="14.25" thickBot="1">
      <c r="B46" s="439"/>
      <c r="C46" s="446"/>
      <c r="D46" s="438"/>
      <c r="E46" s="444"/>
      <c r="F46" s="438"/>
    </row>
    <row r="47" spans="3:6" ht="13.5">
      <c r="C47" s="431"/>
      <c r="D47" s="431"/>
      <c r="E47" s="557"/>
      <c r="F47" s="431"/>
    </row>
    <row r="48" spans="2:6" ht="13.5">
      <c r="B48" s="431" t="s">
        <v>298</v>
      </c>
      <c r="C48" s="431"/>
      <c r="D48" s="431"/>
      <c r="E48" s="431"/>
      <c r="F48" s="431"/>
    </row>
    <row r="49" spans="2:6" ht="13.5">
      <c r="B49" s="709" t="s">
        <v>273</v>
      </c>
      <c r="C49" s="710"/>
      <c r="D49" s="710"/>
      <c r="E49" s="710"/>
      <c r="F49" s="710"/>
    </row>
    <row r="50" spans="2:6" ht="13.5">
      <c r="B50" s="432" t="s">
        <v>274</v>
      </c>
      <c r="C50" s="432"/>
      <c r="D50" s="432"/>
      <c r="E50" s="432"/>
      <c r="F50" s="432"/>
    </row>
    <row r="52" ht="12.75">
      <c r="B52" s="61" t="s">
        <v>264</v>
      </c>
    </row>
  </sheetData>
  <sheetProtection/>
  <mergeCells count="13">
    <mergeCell ref="B1:F1"/>
    <mergeCell ref="C9:D9"/>
    <mergeCell ref="E9:F10"/>
    <mergeCell ref="C10:D10"/>
    <mergeCell ref="B3:F3"/>
    <mergeCell ref="B4:F4"/>
    <mergeCell ref="B5:F5"/>
    <mergeCell ref="B7:F7"/>
    <mergeCell ref="B49:F49"/>
    <mergeCell ref="C11:C15"/>
    <mergeCell ref="D11:D15"/>
    <mergeCell ref="E11:E15"/>
    <mergeCell ref="F11:F15"/>
  </mergeCells>
  <printOptions/>
  <pageMargins left="0.75" right="0.75" top="1" bottom="1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B1:P66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2.7109375" style="61" customWidth="1"/>
    <col min="2" max="2" width="35.8515625" style="61" customWidth="1"/>
    <col min="3" max="3" width="12.28125" style="99" customWidth="1"/>
    <col min="4" max="4" width="11.57421875" style="99" customWidth="1"/>
    <col min="5" max="6" width="11.8515625" style="99" customWidth="1"/>
    <col min="7" max="7" width="11.00390625" style="99" customWidth="1"/>
    <col min="8" max="8" width="9.7109375" style="99" customWidth="1"/>
    <col min="9" max="9" width="10.00390625" style="99" customWidth="1"/>
    <col min="10" max="10" width="11.00390625" style="99" customWidth="1"/>
    <col min="11" max="12" width="12.421875" style="99" customWidth="1"/>
    <col min="13" max="13" width="11.7109375" style="99" customWidth="1"/>
    <col min="14" max="14" width="14.28125" style="61" customWidth="1"/>
    <col min="15" max="16384" width="11.421875" style="61" customWidth="1"/>
  </cols>
  <sheetData>
    <row r="1" spans="2:14" ht="15">
      <c r="B1" s="672" t="s">
        <v>305</v>
      </c>
      <c r="C1" s="672"/>
      <c r="D1" s="672"/>
      <c r="E1" s="672"/>
      <c r="F1" s="672"/>
      <c r="G1" s="672"/>
      <c r="H1" s="672"/>
      <c r="I1" s="672"/>
      <c r="J1" s="672"/>
      <c r="K1" s="422"/>
      <c r="L1" s="422"/>
      <c r="M1" s="422"/>
      <c r="N1" s="422"/>
    </row>
    <row r="2" spans="2:14" ht="15">
      <c r="B2" s="672" t="s">
        <v>155</v>
      </c>
      <c r="C2" s="672"/>
      <c r="D2" s="672"/>
      <c r="E2" s="672"/>
      <c r="F2" s="672"/>
      <c r="G2" s="672"/>
      <c r="H2" s="672"/>
      <c r="I2" s="672"/>
      <c r="J2" s="672"/>
      <c r="K2" s="100"/>
      <c r="L2" s="100"/>
      <c r="M2" s="100"/>
      <c r="N2" s="100"/>
    </row>
    <row r="3" spans="2:14" ht="15">
      <c r="B3" s="672" t="s">
        <v>349</v>
      </c>
      <c r="C3" s="672"/>
      <c r="D3" s="672"/>
      <c r="E3" s="672"/>
      <c r="F3" s="672"/>
      <c r="G3" s="672"/>
      <c r="H3" s="672"/>
      <c r="I3" s="672"/>
      <c r="J3" s="672"/>
      <c r="K3" s="100"/>
      <c r="L3" s="100"/>
      <c r="M3" s="100"/>
      <c r="N3" s="100"/>
    </row>
    <row r="4" spans="2:14" ht="15.75" thickBot="1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2:14" ht="15">
      <c r="B5" s="717" t="s">
        <v>234</v>
      </c>
      <c r="C5" s="722">
        <v>2014</v>
      </c>
      <c r="D5" s="711">
        <v>2015</v>
      </c>
      <c r="E5" s="711">
        <v>2016</v>
      </c>
      <c r="F5" s="711">
        <v>2017</v>
      </c>
      <c r="G5" s="724">
        <v>2018</v>
      </c>
      <c r="H5" s="711">
        <v>2019</v>
      </c>
      <c r="I5" s="713">
        <v>2020</v>
      </c>
      <c r="J5" s="715">
        <v>2021</v>
      </c>
      <c r="K5" s="100"/>
      <c r="L5" s="100"/>
      <c r="M5" s="100"/>
      <c r="N5" s="100"/>
    </row>
    <row r="6" spans="2:14" ht="15.75" thickBot="1">
      <c r="B6" s="718"/>
      <c r="C6" s="723"/>
      <c r="D6" s="712"/>
      <c r="E6" s="712"/>
      <c r="F6" s="712"/>
      <c r="G6" s="725"/>
      <c r="H6" s="712"/>
      <c r="I6" s="714"/>
      <c r="J6" s="716"/>
      <c r="K6" s="100"/>
      <c r="L6" s="100"/>
      <c r="M6" s="100"/>
      <c r="N6" s="100"/>
    </row>
    <row r="7" spans="2:14" ht="15">
      <c r="B7" s="312"/>
      <c r="C7" s="508"/>
      <c r="D7" s="538"/>
      <c r="E7" s="538"/>
      <c r="F7" s="538"/>
      <c r="G7" s="564"/>
      <c r="H7" s="538"/>
      <c r="I7" s="612"/>
      <c r="J7" s="616"/>
      <c r="K7" s="100"/>
      <c r="L7" s="100"/>
      <c r="M7" s="100"/>
      <c r="N7" s="100"/>
    </row>
    <row r="8" spans="2:14" ht="15">
      <c r="B8" s="313" t="s">
        <v>51</v>
      </c>
      <c r="C8" s="509">
        <v>102.6</v>
      </c>
      <c r="D8" s="539">
        <v>102.8</v>
      </c>
      <c r="E8" s="539">
        <v>103.5</v>
      </c>
      <c r="F8" s="539">
        <v>104.4</v>
      </c>
      <c r="G8" s="565">
        <v>105.2</v>
      </c>
      <c r="H8" s="539">
        <v>104.9</v>
      </c>
      <c r="I8" s="613">
        <v>103.2</v>
      </c>
      <c r="J8" s="617">
        <v>104.9</v>
      </c>
      <c r="K8" s="100"/>
      <c r="L8" s="100"/>
      <c r="M8" s="100"/>
      <c r="N8" s="100"/>
    </row>
    <row r="9" spans="2:14" ht="15">
      <c r="B9" s="313"/>
      <c r="C9" s="509"/>
      <c r="D9" s="539"/>
      <c r="E9" s="539"/>
      <c r="F9" s="539"/>
      <c r="G9" s="565"/>
      <c r="H9" s="539"/>
      <c r="I9" s="613"/>
      <c r="J9" s="617"/>
      <c r="K9" s="100"/>
      <c r="L9" s="100"/>
      <c r="M9" s="100"/>
      <c r="N9" s="100"/>
    </row>
    <row r="10" spans="2:14" ht="15">
      <c r="B10" s="314" t="s">
        <v>225</v>
      </c>
      <c r="C10" s="510">
        <v>101.9</v>
      </c>
      <c r="D10" s="540">
        <v>101.2</v>
      </c>
      <c r="E10" s="540">
        <v>102.6</v>
      </c>
      <c r="F10" s="540">
        <v>102.1</v>
      </c>
      <c r="G10" s="566">
        <v>101.4</v>
      </c>
      <c r="H10" s="540">
        <v>101.9</v>
      </c>
      <c r="I10" s="614">
        <v>101.3</v>
      </c>
      <c r="J10" s="618">
        <v>102.9</v>
      </c>
      <c r="K10" s="100"/>
      <c r="L10" s="100"/>
      <c r="M10" s="100"/>
      <c r="N10" s="100"/>
    </row>
    <row r="11" spans="2:14" ht="15">
      <c r="B11" s="314"/>
      <c r="C11" s="510"/>
      <c r="D11" s="541"/>
      <c r="E11" s="541"/>
      <c r="F11" s="541"/>
      <c r="G11" s="567"/>
      <c r="H11" s="541"/>
      <c r="I11" s="615"/>
      <c r="J11" s="619"/>
      <c r="K11" s="100"/>
      <c r="L11" s="100"/>
      <c r="M11" s="100"/>
      <c r="N11" s="100"/>
    </row>
    <row r="12" spans="2:14" ht="15">
      <c r="B12" s="314" t="s">
        <v>226</v>
      </c>
      <c r="C12" s="510">
        <v>104.4</v>
      </c>
      <c r="D12" s="541">
        <v>105.1</v>
      </c>
      <c r="E12" s="541">
        <v>108.5</v>
      </c>
      <c r="F12" s="541">
        <v>108.7</v>
      </c>
      <c r="G12" s="567">
        <v>110.2</v>
      </c>
      <c r="H12" s="541">
        <v>111.3</v>
      </c>
      <c r="I12" s="615">
        <v>111.3</v>
      </c>
      <c r="J12" s="619">
        <v>111.8</v>
      </c>
      <c r="K12" s="100"/>
      <c r="L12" s="100"/>
      <c r="M12" s="100"/>
      <c r="N12" s="100"/>
    </row>
    <row r="13" spans="2:14" ht="15">
      <c r="B13" s="314"/>
      <c r="C13" s="510"/>
      <c r="D13" s="541"/>
      <c r="E13" s="541"/>
      <c r="F13" s="541"/>
      <c r="G13" s="567"/>
      <c r="H13" s="541"/>
      <c r="I13" s="615"/>
      <c r="J13" s="619"/>
      <c r="K13" s="100"/>
      <c r="L13" s="100"/>
      <c r="M13" s="100"/>
      <c r="N13" s="100"/>
    </row>
    <row r="14" spans="2:14" ht="15">
      <c r="B14" s="314" t="s">
        <v>227</v>
      </c>
      <c r="C14" s="510">
        <v>102.2</v>
      </c>
      <c r="D14" s="541">
        <v>98.2</v>
      </c>
      <c r="E14" s="541">
        <v>97.3</v>
      </c>
      <c r="F14" s="541">
        <v>97.3</v>
      </c>
      <c r="G14" s="568">
        <v>96.3</v>
      </c>
      <c r="H14" s="598">
        <v>95.4</v>
      </c>
      <c r="I14" s="620">
        <v>95</v>
      </c>
      <c r="J14" s="621">
        <v>94.6</v>
      </c>
      <c r="K14" s="100"/>
      <c r="L14" s="100"/>
      <c r="M14" s="100"/>
      <c r="N14" s="100"/>
    </row>
    <row r="15" spans="2:14" ht="15">
      <c r="B15" s="315"/>
      <c r="C15" s="510"/>
      <c r="D15" s="541"/>
      <c r="E15" s="541"/>
      <c r="F15" s="541"/>
      <c r="G15" s="567"/>
      <c r="H15" s="541"/>
      <c r="I15" s="615"/>
      <c r="J15" s="619"/>
      <c r="K15" s="100"/>
      <c r="L15" s="100"/>
      <c r="M15" s="100"/>
      <c r="N15" s="100"/>
    </row>
    <row r="16" spans="2:14" ht="15">
      <c r="B16" s="314" t="s">
        <v>133</v>
      </c>
      <c r="C16" s="510">
        <v>103.3</v>
      </c>
      <c r="D16" s="541">
        <v>100.3</v>
      </c>
      <c r="E16" s="541">
        <v>99.4</v>
      </c>
      <c r="F16" s="541">
        <v>101.3</v>
      </c>
      <c r="G16" s="567">
        <v>101.9</v>
      </c>
      <c r="H16" s="541">
        <v>101.6</v>
      </c>
      <c r="I16" s="615">
        <v>97.5</v>
      </c>
      <c r="J16" s="619">
        <v>93.8</v>
      </c>
      <c r="K16" s="100"/>
      <c r="L16" s="100"/>
      <c r="M16" s="100"/>
      <c r="N16" s="100"/>
    </row>
    <row r="17" spans="2:14" ht="15">
      <c r="B17" s="314"/>
      <c r="C17" s="510"/>
      <c r="D17" s="541"/>
      <c r="E17" s="541"/>
      <c r="F17" s="541"/>
      <c r="G17" s="567"/>
      <c r="H17" s="541"/>
      <c r="I17" s="615"/>
      <c r="J17" s="619"/>
      <c r="K17" s="100"/>
      <c r="L17" s="100"/>
      <c r="M17" s="100"/>
      <c r="N17" s="100"/>
    </row>
    <row r="18" spans="2:14" ht="30.75">
      <c r="B18" s="314" t="s">
        <v>228</v>
      </c>
      <c r="C18" s="510"/>
      <c r="D18" s="541"/>
      <c r="E18" s="541"/>
      <c r="F18" s="541"/>
      <c r="G18" s="567"/>
      <c r="H18" s="541"/>
      <c r="I18" s="615"/>
      <c r="J18" s="619"/>
      <c r="K18" s="100"/>
      <c r="L18" s="100"/>
      <c r="M18" s="100"/>
      <c r="N18" s="100"/>
    </row>
    <row r="19" spans="2:14" ht="15">
      <c r="B19" s="314" t="s">
        <v>229</v>
      </c>
      <c r="C19" s="510">
        <v>104.4</v>
      </c>
      <c r="D19" s="541">
        <v>100.6</v>
      </c>
      <c r="E19" s="541">
        <v>101.8</v>
      </c>
      <c r="F19" s="541">
        <v>102.1</v>
      </c>
      <c r="G19" s="567">
        <v>102.3</v>
      </c>
      <c r="H19" s="541">
        <v>101.7</v>
      </c>
      <c r="I19" s="615">
        <v>101.9</v>
      </c>
      <c r="J19" s="619">
        <v>102.4</v>
      </c>
      <c r="K19" s="100"/>
      <c r="L19" s="100"/>
      <c r="M19" s="100"/>
      <c r="N19" s="100"/>
    </row>
    <row r="20" spans="2:14" ht="15">
      <c r="B20" s="314"/>
      <c r="C20" s="510"/>
      <c r="D20" s="541"/>
      <c r="E20" s="541"/>
      <c r="F20" s="541"/>
      <c r="G20" s="567"/>
      <c r="H20" s="541"/>
      <c r="I20" s="615"/>
      <c r="J20" s="619"/>
      <c r="K20" s="100"/>
      <c r="L20" s="100"/>
      <c r="M20" s="100"/>
      <c r="N20" s="100"/>
    </row>
    <row r="21" spans="2:14" ht="15">
      <c r="B21" s="316" t="s">
        <v>136</v>
      </c>
      <c r="C21" s="510">
        <v>106.7</v>
      </c>
      <c r="D21" s="541">
        <v>102</v>
      </c>
      <c r="E21" s="541">
        <v>104.9</v>
      </c>
      <c r="F21" s="541">
        <v>107.5</v>
      </c>
      <c r="G21" s="567">
        <v>108.8</v>
      </c>
      <c r="H21" s="541">
        <v>110</v>
      </c>
      <c r="I21" s="615">
        <v>110.4</v>
      </c>
      <c r="J21" s="619">
        <v>111.2</v>
      </c>
      <c r="K21" s="100"/>
      <c r="L21" s="100"/>
      <c r="M21" s="100"/>
      <c r="N21" s="100"/>
    </row>
    <row r="22" spans="2:14" ht="15">
      <c r="B22" s="314"/>
      <c r="C22" s="510"/>
      <c r="D22" s="541"/>
      <c r="E22" s="541"/>
      <c r="F22" s="541"/>
      <c r="G22" s="567"/>
      <c r="H22" s="541"/>
      <c r="I22" s="615"/>
      <c r="J22" s="619"/>
      <c r="K22" s="100"/>
      <c r="L22" s="100"/>
      <c r="M22" s="100"/>
      <c r="N22" s="100"/>
    </row>
    <row r="23" spans="2:14" ht="15">
      <c r="B23" s="314" t="s">
        <v>137</v>
      </c>
      <c r="C23" s="511">
        <v>96</v>
      </c>
      <c r="D23" s="540">
        <v>102.7</v>
      </c>
      <c r="E23" s="540">
        <v>100.6</v>
      </c>
      <c r="F23" s="540">
        <v>103.5</v>
      </c>
      <c r="G23" s="566">
        <v>106.3</v>
      </c>
      <c r="H23" s="540">
        <v>103.7</v>
      </c>
      <c r="I23" s="614">
        <v>97.9</v>
      </c>
      <c r="J23" s="618">
        <v>106.9</v>
      </c>
      <c r="K23" s="100"/>
      <c r="L23" s="100"/>
      <c r="M23" s="100"/>
      <c r="N23" s="100"/>
    </row>
    <row r="24" spans="2:14" ht="15">
      <c r="B24" s="314"/>
      <c r="C24" s="510"/>
      <c r="D24" s="541"/>
      <c r="E24" s="541"/>
      <c r="F24" s="541"/>
      <c r="G24" s="567"/>
      <c r="H24" s="541"/>
      <c r="I24" s="615"/>
      <c r="J24" s="619"/>
      <c r="K24" s="100"/>
      <c r="L24" s="100"/>
      <c r="M24" s="100"/>
      <c r="N24" s="100"/>
    </row>
    <row r="25" spans="2:14" ht="15">
      <c r="B25" s="314" t="s">
        <v>230</v>
      </c>
      <c r="C25" s="510">
        <v>102.9</v>
      </c>
      <c r="D25" s="541">
        <v>107.3</v>
      </c>
      <c r="E25" s="541">
        <v>107.9</v>
      </c>
      <c r="F25" s="541">
        <v>105.8</v>
      </c>
      <c r="G25" s="567">
        <v>104.9</v>
      </c>
      <c r="H25" s="541">
        <v>103.5</v>
      </c>
      <c r="I25" s="615">
        <v>102.7</v>
      </c>
      <c r="J25" s="619">
        <v>102.5</v>
      </c>
      <c r="K25" s="100"/>
      <c r="L25" s="100"/>
      <c r="M25" s="100"/>
      <c r="N25" s="100"/>
    </row>
    <row r="26" spans="2:14" ht="15">
      <c r="B26" s="314"/>
      <c r="C26" s="510"/>
      <c r="D26" s="541"/>
      <c r="E26" s="541"/>
      <c r="F26" s="541"/>
      <c r="G26" s="567"/>
      <c r="H26" s="541"/>
      <c r="I26" s="615"/>
      <c r="J26" s="619"/>
      <c r="K26" s="100"/>
      <c r="L26" s="100"/>
      <c r="M26" s="100"/>
      <c r="N26" s="100"/>
    </row>
    <row r="27" spans="2:14" ht="15">
      <c r="B27" s="314" t="s">
        <v>231</v>
      </c>
      <c r="C27" s="510">
        <v>101.3</v>
      </c>
      <c r="D27" s="541">
        <v>100.4</v>
      </c>
      <c r="E27" s="541">
        <v>100.4</v>
      </c>
      <c r="F27" s="541">
        <v>100.7</v>
      </c>
      <c r="G27" s="567">
        <v>100.9</v>
      </c>
      <c r="H27" s="541">
        <v>100.3</v>
      </c>
      <c r="I27" s="615">
        <v>99.3</v>
      </c>
      <c r="J27" s="619">
        <v>99.3</v>
      </c>
      <c r="K27" s="100"/>
      <c r="L27" s="100"/>
      <c r="M27" s="100"/>
      <c r="N27" s="100"/>
    </row>
    <row r="28" spans="2:14" ht="15">
      <c r="B28" s="314"/>
      <c r="C28" s="510"/>
      <c r="D28" s="541"/>
      <c r="E28" s="541"/>
      <c r="F28" s="541"/>
      <c r="G28" s="567"/>
      <c r="H28" s="541"/>
      <c r="I28" s="615"/>
      <c r="J28" s="619"/>
      <c r="K28" s="100"/>
      <c r="L28" s="100"/>
      <c r="M28" s="100"/>
      <c r="N28" s="100"/>
    </row>
    <row r="29" spans="2:14" ht="15">
      <c r="B29" s="316" t="s">
        <v>232</v>
      </c>
      <c r="C29" s="510">
        <v>105.7</v>
      </c>
      <c r="D29" s="541">
        <v>106.5</v>
      </c>
      <c r="E29" s="541">
        <v>109.3</v>
      </c>
      <c r="F29" s="541">
        <v>113.1</v>
      </c>
      <c r="G29" s="567">
        <v>117.3</v>
      </c>
      <c r="H29" s="541">
        <v>118.4</v>
      </c>
      <c r="I29" s="614">
        <v>115</v>
      </c>
      <c r="J29" s="618">
        <v>114.1</v>
      </c>
      <c r="K29" s="100"/>
      <c r="L29" s="100"/>
      <c r="M29" s="100"/>
      <c r="N29" s="100"/>
    </row>
    <row r="30" spans="2:14" ht="15">
      <c r="B30" s="316"/>
      <c r="C30" s="510"/>
      <c r="D30" s="541"/>
      <c r="E30" s="541"/>
      <c r="F30" s="541"/>
      <c r="G30" s="567"/>
      <c r="H30" s="541"/>
      <c r="I30" s="615"/>
      <c r="J30" s="619"/>
      <c r="K30" s="100"/>
      <c r="L30" s="100"/>
      <c r="M30" s="100"/>
      <c r="N30" s="100"/>
    </row>
    <row r="31" spans="2:14" ht="15">
      <c r="B31" s="316" t="s">
        <v>233</v>
      </c>
      <c r="C31" s="510">
        <v>111.2</v>
      </c>
      <c r="D31" s="541">
        <v>119.3</v>
      </c>
      <c r="E31" s="541">
        <v>125.9</v>
      </c>
      <c r="F31" s="541">
        <v>127.3</v>
      </c>
      <c r="G31" s="567">
        <v>130.6</v>
      </c>
      <c r="H31" s="541">
        <v>132.3</v>
      </c>
      <c r="I31" s="615">
        <v>132.9</v>
      </c>
      <c r="J31" s="619">
        <v>134.3</v>
      </c>
      <c r="K31" s="100"/>
      <c r="L31" s="100"/>
      <c r="M31" s="100"/>
      <c r="N31" s="100"/>
    </row>
    <row r="32" spans="2:14" ht="15">
      <c r="B32" s="314"/>
      <c r="C32" s="510"/>
      <c r="D32" s="541"/>
      <c r="E32" s="541"/>
      <c r="F32" s="541"/>
      <c r="G32" s="567"/>
      <c r="H32" s="541"/>
      <c r="I32" s="615"/>
      <c r="J32" s="619"/>
      <c r="K32" s="100"/>
      <c r="L32" s="100"/>
      <c r="M32" s="100"/>
      <c r="N32" s="100"/>
    </row>
    <row r="33" spans="2:14" ht="15.75" thickBot="1">
      <c r="B33" s="317" t="s">
        <v>130</v>
      </c>
      <c r="C33" s="512">
        <v>106.8</v>
      </c>
      <c r="D33" s="542">
        <v>102.3</v>
      </c>
      <c r="E33" s="553">
        <v>104</v>
      </c>
      <c r="F33" s="553">
        <v>105.7</v>
      </c>
      <c r="G33" s="569">
        <v>106.8</v>
      </c>
      <c r="H33" s="543">
        <v>107.1</v>
      </c>
      <c r="I33" s="569">
        <v>107.3</v>
      </c>
      <c r="J33" s="543">
        <v>107.6</v>
      </c>
      <c r="K33" s="100"/>
      <c r="L33" s="100"/>
      <c r="M33" s="100"/>
      <c r="N33" s="100"/>
    </row>
    <row r="34" spans="2:14" ht="26.25">
      <c r="B34" s="175" t="s">
        <v>235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</row>
    <row r="35" spans="2:14" ht="1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</row>
    <row r="36" spans="2:14" ht="1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</row>
    <row r="37" spans="2:14" ht="15">
      <c r="B37" s="672" t="s">
        <v>155</v>
      </c>
      <c r="C37" s="672"/>
      <c r="D37" s="672"/>
      <c r="E37" s="672"/>
      <c r="F37" s="672"/>
      <c r="G37" s="672"/>
      <c r="H37" s="672"/>
      <c r="I37" s="672"/>
      <c r="J37" s="672"/>
      <c r="K37" s="672"/>
      <c r="L37" s="672"/>
      <c r="M37" s="672"/>
      <c r="N37" s="672"/>
    </row>
    <row r="38" spans="2:14" ht="15">
      <c r="B38" s="672" t="s">
        <v>195</v>
      </c>
      <c r="C38" s="672"/>
      <c r="D38" s="672"/>
      <c r="E38" s="672"/>
      <c r="F38" s="672"/>
      <c r="G38" s="672"/>
      <c r="H38" s="672"/>
      <c r="I38" s="672"/>
      <c r="J38" s="672"/>
      <c r="K38" s="672"/>
      <c r="L38" s="672"/>
      <c r="M38" s="672"/>
      <c r="N38" s="672"/>
    </row>
    <row r="39" spans="2:16" ht="15.75" thickBot="1">
      <c r="B39" s="100"/>
      <c r="P39"/>
    </row>
    <row r="40" spans="2:16" ht="15">
      <c r="B40" s="717" t="s">
        <v>132</v>
      </c>
      <c r="C40" s="719" t="s">
        <v>50</v>
      </c>
      <c r="D40" s="720"/>
      <c r="E40" s="720"/>
      <c r="F40" s="720"/>
      <c r="G40" s="720"/>
      <c r="H40" s="720"/>
      <c r="I40" s="720"/>
      <c r="J40" s="720"/>
      <c r="K40" s="720"/>
      <c r="L40" s="720"/>
      <c r="M40" s="721"/>
      <c r="N40" s="307" t="s">
        <v>27</v>
      </c>
      <c r="P40"/>
    </row>
    <row r="41" spans="2:16" ht="15.75" thickBot="1">
      <c r="B41" s="718"/>
      <c r="C41" s="308">
        <v>2003</v>
      </c>
      <c r="D41" s="309">
        <v>2004</v>
      </c>
      <c r="E41" s="309">
        <v>2005</v>
      </c>
      <c r="F41" s="309">
        <v>2006</v>
      </c>
      <c r="G41" s="309">
        <v>2007</v>
      </c>
      <c r="H41" s="309">
        <v>2008</v>
      </c>
      <c r="I41" s="309">
        <v>2009</v>
      </c>
      <c r="J41" s="324">
        <v>2010</v>
      </c>
      <c r="K41" s="324">
        <v>2011</v>
      </c>
      <c r="L41" s="309">
        <v>2012</v>
      </c>
      <c r="M41" s="310">
        <v>2013</v>
      </c>
      <c r="N41" s="311" t="s">
        <v>224</v>
      </c>
      <c r="P41"/>
    </row>
    <row r="42" spans="2:16" ht="15">
      <c r="B42" s="312"/>
      <c r="C42" s="179"/>
      <c r="D42" s="215"/>
      <c r="E42" s="215"/>
      <c r="F42" s="215"/>
      <c r="G42" s="215"/>
      <c r="H42" s="215"/>
      <c r="I42" s="215"/>
      <c r="J42" s="362"/>
      <c r="K42" s="362"/>
      <c r="L42" s="215"/>
      <c r="M42" s="104"/>
      <c r="N42" s="110"/>
      <c r="P42"/>
    </row>
    <row r="43" spans="2:16" ht="15">
      <c r="B43" s="313" t="s">
        <v>51</v>
      </c>
      <c r="C43" s="180">
        <v>100.1</v>
      </c>
      <c r="D43" s="216">
        <v>100.5</v>
      </c>
      <c r="E43" s="216">
        <v>103.4</v>
      </c>
      <c r="F43" s="216">
        <v>106</v>
      </c>
      <c r="G43" s="216">
        <v>110.4</v>
      </c>
      <c r="H43" s="216">
        <v>120</v>
      </c>
      <c r="I43" s="216">
        <v>122.9</v>
      </c>
      <c r="J43" s="363">
        <v>127.2</v>
      </c>
      <c r="K43" s="363">
        <v>134.7</v>
      </c>
      <c r="L43" s="216">
        <v>142.4</v>
      </c>
      <c r="M43" s="144">
        <v>148.1</v>
      </c>
      <c r="N43" s="147">
        <f>+(M43/L43-1)*100</f>
        <v>4.0028089887640395</v>
      </c>
      <c r="P43"/>
    </row>
    <row r="44" spans="2:16" ht="15">
      <c r="B44" s="313"/>
      <c r="C44" s="180"/>
      <c r="D44" s="216"/>
      <c r="E44" s="216"/>
      <c r="F44" s="216"/>
      <c r="G44" s="216"/>
      <c r="H44" s="216"/>
      <c r="I44" s="216"/>
      <c r="J44" s="363"/>
      <c r="K44" s="363"/>
      <c r="L44" s="216"/>
      <c r="M44" s="144"/>
      <c r="N44" s="111"/>
      <c r="P44"/>
    </row>
    <row r="45" spans="2:16" ht="15">
      <c r="B45" s="314" t="s">
        <v>82</v>
      </c>
      <c r="C45" s="181">
        <v>100.4</v>
      </c>
      <c r="D45" s="217">
        <v>101.7</v>
      </c>
      <c r="E45" s="217">
        <v>106</v>
      </c>
      <c r="F45" s="217">
        <v>107.4</v>
      </c>
      <c r="G45" s="217">
        <v>114.7</v>
      </c>
      <c r="H45" s="217">
        <v>131.8</v>
      </c>
      <c r="I45" s="217">
        <v>139.4</v>
      </c>
      <c r="J45" s="364">
        <v>143.4</v>
      </c>
      <c r="K45" s="364">
        <v>151.8</v>
      </c>
      <c r="L45" s="217">
        <v>164.1</v>
      </c>
      <c r="M45" s="145">
        <v>173.6</v>
      </c>
      <c r="N45" s="148">
        <f>+(M45/L45-1)*100</f>
        <v>5.78915295551492</v>
      </c>
      <c r="P45"/>
    </row>
    <row r="46" spans="2:16" ht="15">
      <c r="B46" s="314"/>
      <c r="C46" s="181"/>
      <c r="D46" s="217"/>
      <c r="E46" s="217"/>
      <c r="F46" s="217"/>
      <c r="G46" s="217"/>
      <c r="H46" s="217"/>
      <c r="I46" s="217"/>
      <c r="J46" s="364"/>
      <c r="K46" s="364"/>
      <c r="L46" s="217"/>
      <c r="M46" s="145"/>
      <c r="N46" s="111"/>
      <c r="P46"/>
    </row>
    <row r="47" spans="2:16" ht="15">
      <c r="B47" s="314" t="s">
        <v>83</v>
      </c>
      <c r="C47" s="181">
        <v>96</v>
      </c>
      <c r="D47" s="217">
        <v>94.6</v>
      </c>
      <c r="E47" s="217">
        <v>94.6</v>
      </c>
      <c r="F47" s="217">
        <v>93.8</v>
      </c>
      <c r="G47" s="217">
        <v>92.4</v>
      </c>
      <c r="H47" s="217">
        <v>93.5</v>
      </c>
      <c r="I47" s="217">
        <v>95.7</v>
      </c>
      <c r="J47" s="364">
        <v>98.2</v>
      </c>
      <c r="K47" s="364">
        <v>103.8</v>
      </c>
      <c r="L47" s="217">
        <v>107.5</v>
      </c>
      <c r="M47" s="145">
        <v>111.1</v>
      </c>
      <c r="N47" s="148">
        <f>+(M47/L47-1)*100</f>
        <v>3.3488372093023244</v>
      </c>
      <c r="P47"/>
    </row>
    <row r="48" spans="2:16" ht="15">
      <c r="B48" s="315"/>
      <c r="C48" s="181"/>
      <c r="D48" s="217"/>
      <c r="E48" s="217"/>
      <c r="F48" s="217"/>
      <c r="G48" s="217"/>
      <c r="H48" s="217"/>
      <c r="I48" s="217"/>
      <c r="J48" s="364"/>
      <c r="K48" s="364"/>
      <c r="L48" s="217"/>
      <c r="M48" s="145"/>
      <c r="N48" s="111"/>
      <c r="P48"/>
    </row>
    <row r="49" spans="2:16" ht="15">
      <c r="B49" s="314" t="s">
        <v>133</v>
      </c>
      <c r="C49" s="181">
        <v>103.1</v>
      </c>
      <c r="D49" s="217">
        <v>102.2</v>
      </c>
      <c r="E49" s="217">
        <v>106.5</v>
      </c>
      <c r="F49" s="217">
        <v>111.9</v>
      </c>
      <c r="G49" s="217">
        <v>117</v>
      </c>
      <c r="H49" s="217">
        <v>124.3</v>
      </c>
      <c r="I49" s="217">
        <v>115.1</v>
      </c>
      <c r="J49" s="364">
        <v>118.1</v>
      </c>
      <c r="K49" s="364">
        <v>120.2</v>
      </c>
      <c r="L49" s="217">
        <v>124.2</v>
      </c>
      <c r="M49" s="145">
        <v>129.3</v>
      </c>
      <c r="N49" s="148">
        <f>+(M49/L49-1)*100</f>
        <v>4.106280193236711</v>
      </c>
      <c r="P49"/>
    </row>
    <row r="50" spans="2:16" ht="15">
      <c r="B50" s="314"/>
      <c r="C50" s="181"/>
      <c r="D50" s="217"/>
      <c r="E50" s="217"/>
      <c r="F50" s="217"/>
      <c r="G50" s="217"/>
      <c r="H50" s="217"/>
      <c r="I50" s="217"/>
      <c r="J50" s="364"/>
      <c r="K50" s="364"/>
      <c r="L50" s="217"/>
      <c r="M50" s="145"/>
      <c r="N50" s="111"/>
      <c r="P50"/>
    </row>
    <row r="51" spans="2:14" ht="15">
      <c r="B51" s="314" t="s">
        <v>134</v>
      </c>
      <c r="C51" s="181"/>
      <c r="D51" s="217"/>
      <c r="E51" s="217"/>
      <c r="F51" s="217"/>
      <c r="G51" s="217"/>
      <c r="H51" s="217"/>
      <c r="I51" s="217"/>
      <c r="J51" s="364"/>
      <c r="K51" s="364"/>
      <c r="L51" s="217"/>
      <c r="M51" s="145"/>
      <c r="N51" s="111"/>
    </row>
    <row r="52" spans="2:14" ht="15">
      <c r="B52" s="314" t="s">
        <v>135</v>
      </c>
      <c r="C52" s="181">
        <v>98.8</v>
      </c>
      <c r="D52" s="217">
        <v>98.5</v>
      </c>
      <c r="E52" s="217">
        <v>100.9</v>
      </c>
      <c r="F52" s="217">
        <v>102.9</v>
      </c>
      <c r="G52" s="217">
        <v>105.1</v>
      </c>
      <c r="H52" s="217">
        <v>111.3</v>
      </c>
      <c r="I52" s="217">
        <v>118.3</v>
      </c>
      <c r="J52" s="364">
        <v>122.1</v>
      </c>
      <c r="K52" s="364">
        <v>126.5</v>
      </c>
      <c r="L52" s="217">
        <v>133.4</v>
      </c>
      <c r="M52" s="145">
        <v>137.6</v>
      </c>
      <c r="N52" s="148">
        <f>+(M52/L52-1)*100</f>
        <v>3.1484257871064347</v>
      </c>
    </row>
    <row r="53" spans="2:14" ht="15">
      <c r="B53" s="314"/>
      <c r="C53" s="181"/>
      <c r="D53" s="217"/>
      <c r="E53" s="217"/>
      <c r="F53" s="217"/>
      <c r="G53" s="217"/>
      <c r="H53" s="217"/>
      <c r="I53" s="217"/>
      <c r="J53" s="364"/>
      <c r="K53" s="364"/>
      <c r="L53" s="217"/>
      <c r="M53" s="145"/>
      <c r="N53" s="111"/>
    </row>
    <row r="54" spans="2:14" ht="15">
      <c r="B54" s="316" t="s">
        <v>136</v>
      </c>
      <c r="C54" s="181">
        <v>99.4</v>
      </c>
      <c r="D54" s="217">
        <v>101.1</v>
      </c>
      <c r="E54" s="217">
        <v>102.9</v>
      </c>
      <c r="F54" s="217">
        <v>103.4</v>
      </c>
      <c r="G54" s="217">
        <v>104.9</v>
      </c>
      <c r="H54" s="217">
        <v>107.5</v>
      </c>
      <c r="I54" s="217">
        <v>111</v>
      </c>
      <c r="J54" s="364">
        <v>114.2</v>
      </c>
      <c r="K54" s="364">
        <v>118.4</v>
      </c>
      <c r="L54" s="217">
        <v>122.7</v>
      </c>
      <c r="M54" s="145">
        <v>128.6</v>
      </c>
      <c r="N54" s="148">
        <f>+(M54/L54-1)*100</f>
        <v>4.808475957620195</v>
      </c>
    </row>
    <row r="55" spans="2:14" ht="15">
      <c r="B55" s="314"/>
      <c r="C55" s="181"/>
      <c r="D55" s="217"/>
      <c r="E55" s="217"/>
      <c r="F55" s="217"/>
      <c r="G55" s="217"/>
      <c r="H55" s="217"/>
      <c r="I55" s="217"/>
      <c r="J55" s="364"/>
      <c r="K55" s="364"/>
      <c r="L55" s="217"/>
      <c r="M55" s="145"/>
      <c r="N55" s="111"/>
    </row>
    <row r="56" spans="2:14" ht="15">
      <c r="B56" s="314" t="s">
        <v>137</v>
      </c>
      <c r="C56" s="181">
        <v>100.4</v>
      </c>
      <c r="D56" s="217">
        <v>103.2</v>
      </c>
      <c r="E56" s="217">
        <v>107.1</v>
      </c>
      <c r="F56" s="217">
        <v>116.7</v>
      </c>
      <c r="G56" s="217">
        <v>124</v>
      </c>
      <c r="H56" s="217">
        <v>136.6</v>
      </c>
      <c r="I56" s="217">
        <v>132.8</v>
      </c>
      <c r="J56" s="364">
        <v>140.7</v>
      </c>
      <c r="K56" s="364">
        <v>158.3</v>
      </c>
      <c r="L56" s="217">
        <v>167</v>
      </c>
      <c r="M56" s="145">
        <v>169.8</v>
      </c>
      <c r="N56" s="148">
        <f>+(M56/L56-1)*100</f>
        <v>1.6766467065868262</v>
      </c>
    </row>
    <row r="57" spans="2:14" ht="15">
      <c r="B57" s="314"/>
      <c r="C57" s="181"/>
      <c r="D57" s="217"/>
      <c r="E57" s="217"/>
      <c r="F57" s="217"/>
      <c r="G57" s="217"/>
      <c r="H57" s="217"/>
      <c r="I57" s="217"/>
      <c r="J57" s="364"/>
      <c r="K57" s="364"/>
      <c r="L57" s="217"/>
      <c r="M57" s="145"/>
      <c r="N57" s="111"/>
    </row>
    <row r="58" spans="2:14" ht="15">
      <c r="B58" s="314" t="s">
        <v>138</v>
      </c>
      <c r="C58" s="181"/>
      <c r="D58" s="217"/>
      <c r="E58" s="217"/>
      <c r="F58" s="217"/>
      <c r="G58" s="217"/>
      <c r="H58" s="217"/>
      <c r="I58" s="217"/>
      <c r="J58" s="364"/>
      <c r="K58" s="364"/>
      <c r="L58" s="217"/>
      <c r="M58" s="145"/>
      <c r="N58" s="111"/>
    </row>
    <row r="59" spans="2:14" ht="15">
      <c r="B59" s="316" t="s">
        <v>129</v>
      </c>
      <c r="C59" s="181">
        <v>99.6</v>
      </c>
      <c r="D59" s="217">
        <v>98</v>
      </c>
      <c r="E59" s="217">
        <v>98.5</v>
      </c>
      <c r="F59" s="217">
        <v>99.5</v>
      </c>
      <c r="G59" s="217">
        <v>100.5</v>
      </c>
      <c r="H59" s="217">
        <v>102.8</v>
      </c>
      <c r="I59" s="217">
        <v>104.4</v>
      </c>
      <c r="J59" s="364">
        <v>106.8</v>
      </c>
      <c r="K59" s="364">
        <v>109.2</v>
      </c>
      <c r="L59" s="217">
        <v>109.8</v>
      </c>
      <c r="M59" s="145">
        <v>112.4</v>
      </c>
      <c r="N59" s="148">
        <f>+(M59/L59-1)*100</f>
        <v>2.3679417122040247</v>
      </c>
    </row>
    <row r="60" spans="2:14" ht="15">
      <c r="B60" s="316"/>
      <c r="C60" s="181"/>
      <c r="D60" s="217"/>
      <c r="E60" s="217"/>
      <c r="F60" s="217"/>
      <c r="G60" s="217"/>
      <c r="H60" s="217"/>
      <c r="I60" s="217"/>
      <c r="J60" s="364"/>
      <c r="K60" s="364"/>
      <c r="L60" s="217"/>
      <c r="M60" s="145"/>
      <c r="N60" s="148"/>
    </row>
    <row r="61" spans="2:14" ht="15">
      <c r="B61" s="316" t="s">
        <v>77</v>
      </c>
      <c r="C61" s="181">
        <v>100.1</v>
      </c>
      <c r="D61" s="217">
        <v>102</v>
      </c>
      <c r="E61" s="217">
        <v>104.3</v>
      </c>
      <c r="F61" s="217">
        <v>105.4</v>
      </c>
      <c r="G61" s="217">
        <v>108</v>
      </c>
      <c r="H61" s="217">
        <v>112.4</v>
      </c>
      <c r="I61" s="217">
        <v>115.3</v>
      </c>
      <c r="J61" s="364">
        <v>118.2</v>
      </c>
      <c r="K61" s="364">
        <v>120.3</v>
      </c>
      <c r="L61" s="217">
        <v>124.9</v>
      </c>
      <c r="M61" s="145">
        <v>131.9</v>
      </c>
      <c r="N61" s="148">
        <f>+(M61/L61-1)*100</f>
        <v>5.604483586869491</v>
      </c>
    </row>
    <row r="62" spans="2:14" ht="15">
      <c r="B62" s="314"/>
      <c r="C62" s="181"/>
      <c r="D62" s="217"/>
      <c r="E62" s="217"/>
      <c r="F62" s="217"/>
      <c r="G62" s="217"/>
      <c r="H62" s="217"/>
      <c r="I62" s="217"/>
      <c r="J62" s="364"/>
      <c r="K62" s="364"/>
      <c r="L62" s="217"/>
      <c r="M62" s="145"/>
      <c r="N62" s="111"/>
    </row>
    <row r="63" spans="2:14" ht="15.75" thickBot="1">
      <c r="B63" s="317" t="s">
        <v>130</v>
      </c>
      <c r="C63" s="182">
        <v>100.1</v>
      </c>
      <c r="D63" s="218">
        <v>100</v>
      </c>
      <c r="E63" s="218">
        <v>101</v>
      </c>
      <c r="F63" s="218">
        <v>101.4</v>
      </c>
      <c r="G63" s="218">
        <v>104.3</v>
      </c>
      <c r="H63" s="218">
        <v>110.1</v>
      </c>
      <c r="I63" s="218">
        <v>116.2</v>
      </c>
      <c r="J63" s="365">
        <v>122.2</v>
      </c>
      <c r="K63" s="365">
        <v>131.4</v>
      </c>
      <c r="L63" s="218">
        <v>138.4</v>
      </c>
      <c r="M63" s="146">
        <v>141.4</v>
      </c>
      <c r="N63" s="149">
        <f>+(M63/L63-1)*100</f>
        <v>2.1676300578034713</v>
      </c>
    </row>
    <row r="64" ht="12.75">
      <c r="B64" s="175" t="s">
        <v>28</v>
      </c>
    </row>
    <row r="65" spans="2:4" ht="15" customHeight="1">
      <c r="B65" t="s">
        <v>131</v>
      </c>
      <c r="C65" s="178"/>
      <c r="D65" s="178"/>
    </row>
    <row r="66" spans="2:14" ht="17.25" customHeight="1">
      <c r="B66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</row>
  </sheetData>
  <sheetProtection/>
  <mergeCells count="16">
    <mergeCell ref="B37:N37"/>
    <mergeCell ref="B40:B41"/>
    <mergeCell ref="B38:N38"/>
    <mergeCell ref="C40:M40"/>
    <mergeCell ref="B5:B6"/>
    <mergeCell ref="C5:C6"/>
    <mergeCell ref="F5:F6"/>
    <mergeCell ref="G5:G6"/>
    <mergeCell ref="H5:H6"/>
    <mergeCell ref="D5:D6"/>
    <mergeCell ref="E5:E6"/>
    <mergeCell ref="I5:I6"/>
    <mergeCell ref="J5:J6"/>
    <mergeCell ref="B1:J1"/>
    <mergeCell ref="B2:J2"/>
    <mergeCell ref="B3:J3"/>
  </mergeCells>
  <printOptions/>
  <pageMargins left="0.75" right="0.75" top="1" bottom="1" header="0" footer="0"/>
  <pageSetup horizontalDpi="200" verticalDpi="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B1:AE96"/>
  <sheetViews>
    <sheetView zoomScalePageLayoutView="0" workbookViewId="0" topLeftCell="A1">
      <selection activeCell="H18" sqref="H18"/>
    </sheetView>
  </sheetViews>
  <sheetFormatPr defaultColWidth="10.7109375" defaultRowHeight="15" customHeight="1"/>
  <cols>
    <col min="1" max="1" width="4.140625" style="129" customWidth="1"/>
    <col min="2" max="2" width="50.7109375" style="5" customWidth="1"/>
    <col min="3" max="3" width="15.140625" style="129" customWidth="1"/>
    <col min="4" max="5" width="14.140625" style="129" customWidth="1"/>
    <col min="6" max="6" width="19.140625" style="129" customWidth="1"/>
    <col min="7" max="7" width="9.00390625" style="129" customWidth="1"/>
    <col min="8" max="8" width="8.8515625" style="129" customWidth="1"/>
    <col min="9" max="12" width="9.421875" style="129" customWidth="1"/>
    <col min="13" max="13" width="9.140625" style="129" customWidth="1"/>
    <col min="14" max="14" width="9.57421875" style="129" customWidth="1"/>
    <col min="15" max="15" width="15.7109375" style="129" customWidth="1"/>
    <col min="16" max="16" width="9.7109375" style="129" customWidth="1"/>
    <col min="17" max="17" width="8.57421875" style="129" customWidth="1"/>
    <col min="18" max="18" width="9.00390625" style="129" customWidth="1"/>
    <col min="19" max="19" width="9.8515625" style="129" customWidth="1"/>
    <col min="20" max="16384" width="10.7109375" style="129" customWidth="1"/>
  </cols>
  <sheetData>
    <row r="1" spans="2:18" ht="15" customHeight="1">
      <c r="B1" s="623" t="s">
        <v>117</v>
      </c>
      <c r="C1" s="623"/>
      <c r="D1" s="623"/>
      <c r="E1" s="623"/>
      <c r="F1" s="62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2:18" ht="15" customHeight="1">
      <c r="B2" s="570" t="s">
        <v>330</v>
      </c>
      <c r="C2" s="571"/>
      <c r="D2" s="571"/>
      <c r="E2" s="571"/>
      <c r="F2" s="571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2:30" ht="15" customHeight="1">
      <c r="B3" s="570" t="s">
        <v>350</v>
      </c>
      <c r="C3" s="571"/>
      <c r="D3" s="571"/>
      <c r="E3" s="571"/>
      <c r="F3" s="571"/>
      <c r="G3" s="6"/>
      <c r="H3" s="6"/>
      <c r="I3" s="6"/>
      <c r="J3" s="6"/>
      <c r="K3" s="6"/>
      <c r="L3" s="6"/>
      <c r="M3" s="6"/>
      <c r="N3" s="6"/>
      <c r="O3" s="623" t="s">
        <v>116</v>
      </c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3"/>
      <c r="AA3" s="623"/>
      <c r="AB3" s="623"/>
      <c r="AC3" s="623"/>
      <c r="AD3" s="623"/>
    </row>
    <row r="4" spans="2:30" ht="15" customHeight="1" thickBot="1">
      <c r="B4" s="575"/>
      <c r="C4" s="575"/>
      <c r="D4" s="575"/>
      <c r="E4" s="575"/>
      <c r="F4" s="575"/>
      <c r="G4" s="6"/>
      <c r="H4" s="6"/>
      <c r="I4" s="6"/>
      <c r="J4" s="6"/>
      <c r="K4" s="6"/>
      <c r="L4" s="6"/>
      <c r="M4" s="6"/>
      <c r="N4" s="6"/>
      <c r="O4" s="740" t="s">
        <v>294</v>
      </c>
      <c r="P4" s="741"/>
      <c r="Q4" s="741"/>
      <c r="R4" s="741"/>
      <c r="S4" s="741"/>
      <c r="T4" s="741"/>
      <c r="U4" s="741"/>
      <c r="V4" s="741"/>
      <c r="W4" s="741"/>
      <c r="X4" s="741"/>
      <c r="Y4" s="741"/>
      <c r="Z4" s="741"/>
      <c r="AA4" s="741"/>
      <c r="AB4" s="741"/>
      <c r="AC4" s="741"/>
      <c r="AD4" s="741"/>
    </row>
    <row r="5" spans="2:31" ht="15" customHeight="1">
      <c r="B5" s="750" t="s">
        <v>307</v>
      </c>
      <c r="C5" s="726" t="s">
        <v>337</v>
      </c>
      <c r="D5" s="727"/>
      <c r="E5" s="728"/>
      <c r="F5" s="753" t="s">
        <v>308</v>
      </c>
      <c r="G5" s="6"/>
      <c r="H5" s="6"/>
      <c r="I5" s="6"/>
      <c r="J5" s="6"/>
      <c r="K5" s="6"/>
      <c r="L5" s="6"/>
      <c r="M5" s="6"/>
      <c r="N5" s="6"/>
      <c r="O5" s="748" t="s">
        <v>63</v>
      </c>
      <c r="P5" s="660">
        <v>2001</v>
      </c>
      <c r="Q5" s="649">
        <v>2002</v>
      </c>
      <c r="R5" s="734">
        <v>2003</v>
      </c>
      <c r="S5" s="734">
        <v>2004</v>
      </c>
      <c r="T5" s="734">
        <v>2005</v>
      </c>
      <c r="U5" s="734">
        <v>2006</v>
      </c>
      <c r="V5" s="734">
        <v>2007</v>
      </c>
      <c r="W5" s="734">
        <v>2008</v>
      </c>
      <c r="X5" s="734">
        <v>2009</v>
      </c>
      <c r="Y5" s="649">
        <v>2010</v>
      </c>
      <c r="Z5" s="649">
        <v>2011</v>
      </c>
      <c r="AA5" s="734">
        <v>2012</v>
      </c>
      <c r="AB5" s="734">
        <v>2013</v>
      </c>
      <c r="AC5" s="734">
        <v>2014</v>
      </c>
      <c r="AD5" s="734">
        <v>2015</v>
      </c>
      <c r="AE5" s="651">
        <v>2016</v>
      </c>
    </row>
    <row r="6" spans="2:31" ht="15" customHeight="1" thickBot="1">
      <c r="B6" s="751"/>
      <c r="C6" s="729" t="s">
        <v>336</v>
      </c>
      <c r="D6" s="730"/>
      <c r="E6" s="731"/>
      <c r="F6" s="754"/>
      <c r="G6" s="6"/>
      <c r="H6" s="6"/>
      <c r="I6" s="6"/>
      <c r="J6" s="6"/>
      <c r="K6" s="6"/>
      <c r="L6" s="6"/>
      <c r="M6" s="6"/>
      <c r="N6" s="6"/>
      <c r="O6" s="749"/>
      <c r="P6" s="662"/>
      <c r="Q6" s="654"/>
      <c r="R6" s="735"/>
      <c r="S6" s="735"/>
      <c r="T6" s="735"/>
      <c r="U6" s="735"/>
      <c r="V6" s="735"/>
      <c r="W6" s="735"/>
      <c r="X6" s="735"/>
      <c r="Y6" s="654"/>
      <c r="Z6" s="654"/>
      <c r="AA6" s="735"/>
      <c r="AB6" s="735"/>
      <c r="AC6" s="735"/>
      <c r="AD6" s="735"/>
      <c r="AE6" s="656"/>
    </row>
    <row r="7" spans="2:31" ht="15" customHeight="1" thickBot="1">
      <c r="B7" s="752"/>
      <c r="C7" s="578">
        <v>2019</v>
      </c>
      <c r="D7" s="578">
        <v>2020</v>
      </c>
      <c r="E7" s="578">
        <v>2021</v>
      </c>
      <c r="F7" s="755"/>
      <c r="G7" s="6"/>
      <c r="H7" s="6"/>
      <c r="I7" s="6"/>
      <c r="J7" s="6"/>
      <c r="K7" s="6"/>
      <c r="L7" s="6"/>
      <c r="M7" s="6"/>
      <c r="N7" s="6"/>
      <c r="O7" s="325"/>
      <c r="P7" s="159"/>
      <c r="Q7" s="158"/>
      <c r="R7" s="163"/>
      <c r="S7" s="163"/>
      <c r="T7" s="163"/>
      <c r="U7" s="163"/>
      <c r="V7" s="163"/>
      <c r="W7" s="163"/>
      <c r="X7" s="163"/>
      <c r="Y7" s="158"/>
      <c r="Z7" s="158"/>
      <c r="AA7" s="163"/>
      <c r="AB7" s="163"/>
      <c r="AC7" s="163"/>
      <c r="AD7" s="163"/>
      <c r="AE7" s="183"/>
    </row>
    <row r="8" spans="2:31" ht="15" customHeight="1">
      <c r="B8" s="579"/>
      <c r="C8" s="577"/>
      <c r="D8" s="577"/>
      <c r="E8" s="158"/>
      <c r="F8" s="576"/>
      <c r="G8" s="6"/>
      <c r="H8" s="6"/>
      <c r="I8" s="6"/>
      <c r="J8" s="6"/>
      <c r="K8" s="6"/>
      <c r="L8" s="6"/>
      <c r="M8" s="6"/>
      <c r="N8" s="6"/>
      <c r="O8" s="326" t="s">
        <v>51</v>
      </c>
      <c r="P8" s="161">
        <v>120</v>
      </c>
      <c r="Q8" s="162">
        <v>116.4</v>
      </c>
      <c r="R8" s="164">
        <v>118.3</v>
      </c>
      <c r="S8" s="164">
        <v>123.5</v>
      </c>
      <c r="T8" s="232">
        <v>130.5</v>
      </c>
      <c r="U8" s="232">
        <v>138.4</v>
      </c>
      <c r="V8" s="232">
        <v>145.8</v>
      </c>
      <c r="W8" s="232">
        <v>168.8</v>
      </c>
      <c r="X8" s="232">
        <v>157.5</v>
      </c>
      <c r="Y8" s="366">
        <v>163.6</v>
      </c>
      <c r="Z8" s="371">
        <v>183</v>
      </c>
      <c r="AA8" s="375">
        <v>191.6</v>
      </c>
      <c r="AB8" s="375">
        <v>191.9</v>
      </c>
      <c r="AC8" s="375">
        <v>188.8</v>
      </c>
      <c r="AD8" s="375">
        <v>178</v>
      </c>
      <c r="AE8" s="367">
        <v>176.5</v>
      </c>
    </row>
    <row r="9" spans="2:31" ht="15" customHeight="1">
      <c r="B9" s="580" t="s">
        <v>309</v>
      </c>
      <c r="C9" s="584">
        <v>105.62476009678127</v>
      </c>
      <c r="D9" s="584">
        <v>104.34584710199529</v>
      </c>
      <c r="E9" s="599">
        <v>108.379179557068</v>
      </c>
      <c r="F9" s="585">
        <f>IF(E9=D9,"                               -  ",(E9/D9)*100-100)</f>
        <v>3.8653502435322054</v>
      </c>
      <c r="G9" s="6"/>
      <c r="H9" s="6"/>
      <c r="I9" s="6"/>
      <c r="J9" s="6"/>
      <c r="K9" s="6"/>
      <c r="L9" s="6"/>
      <c r="M9" s="6"/>
      <c r="N9" s="6"/>
      <c r="O9" s="327"/>
      <c r="P9" s="160"/>
      <c r="Q9" s="150"/>
      <c r="R9" s="151"/>
      <c r="S9" s="151"/>
      <c r="T9" s="151"/>
      <c r="U9" s="151"/>
      <c r="V9" s="151"/>
      <c r="W9" s="151"/>
      <c r="X9" s="151"/>
      <c r="Y9" s="150"/>
      <c r="Z9" s="150"/>
      <c r="AA9" s="151"/>
      <c r="AB9" s="151"/>
      <c r="AC9" s="151"/>
      <c r="AD9" s="151"/>
      <c r="AE9" s="184"/>
    </row>
    <row r="10" spans="2:31" ht="15" customHeight="1">
      <c r="B10" s="581"/>
      <c r="C10" s="584"/>
      <c r="D10" s="584"/>
      <c r="E10" s="599"/>
      <c r="F10" s="585"/>
      <c r="G10" s="6"/>
      <c r="H10" s="6"/>
      <c r="I10" s="6"/>
      <c r="J10" s="6"/>
      <c r="K10" s="6"/>
      <c r="L10" s="6"/>
      <c r="M10" s="6"/>
      <c r="N10" s="6"/>
      <c r="O10" s="328" t="s">
        <v>118</v>
      </c>
      <c r="P10" s="133">
        <v>129.7</v>
      </c>
      <c r="Q10" s="132">
        <v>123.9</v>
      </c>
      <c r="R10" s="152">
        <v>125.9</v>
      </c>
      <c r="S10" s="219">
        <v>135.1</v>
      </c>
      <c r="T10" s="219">
        <v>149.1</v>
      </c>
      <c r="U10" s="219">
        <v>164.2</v>
      </c>
      <c r="V10" s="219">
        <v>173.7</v>
      </c>
      <c r="W10" s="219">
        <v>210.4</v>
      </c>
      <c r="X10" s="219">
        <v>180.7</v>
      </c>
      <c r="Y10" s="130">
        <v>193.1</v>
      </c>
      <c r="Z10" s="130">
        <v>226.1</v>
      </c>
      <c r="AA10" s="219">
        <v>237.9</v>
      </c>
      <c r="AB10" s="219">
        <v>233.4</v>
      </c>
      <c r="AC10" s="219">
        <v>222.3</v>
      </c>
      <c r="AD10" s="219">
        <v>195.6</v>
      </c>
      <c r="AE10" s="185">
        <v>190.8</v>
      </c>
    </row>
    <row r="11" spans="2:31" ht="15" customHeight="1">
      <c r="B11" s="582" t="s">
        <v>310</v>
      </c>
      <c r="C11" s="586">
        <v>100.0502469964497</v>
      </c>
      <c r="D11" s="586">
        <v>99.50759912646755</v>
      </c>
      <c r="E11" s="600">
        <v>100.24315288880256</v>
      </c>
      <c r="F11" s="587">
        <f>IF(E11=D11,"                               -  ",(E11/D11)*100-100)</f>
        <v>0.7391935578710616</v>
      </c>
      <c r="G11" s="6"/>
      <c r="H11" s="6"/>
      <c r="I11" s="6"/>
      <c r="J11" s="6"/>
      <c r="K11" s="6"/>
      <c r="L11" s="6"/>
      <c r="M11" s="6"/>
      <c r="N11" s="6"/>
      <c r="O11" s="329" t="s">
        <v>119</v>
      </c>
      <c r="P11" s="134">
        <v>111.8</v>
      </c>
      <c r="Q11" s="130">
        <v>109.7</v>
      </c>
      <c r="R11" s="154">
        <v>112.9</v>
      </c>
      <c r="S11" s="154">
        <v>114.8</v>
      </c>
      <c r="T11" s="154">
        <v>116.6</v>
      </c>
      <c r="U11" s="154">
        <v>118.7</v>
      </c>
      <c r="V11" s="154">
        <v>124.1</v>
      </c>
      <c r="W11" s="154">
        <v>138.5</v>
      </c>
      <c r="X11" s="154">
        <v>139.4</v>
      </c>
      <c r="Y11" s="200">
        <v>140.7</v>
      </c>
      <c r="Z11" s="200">
        <v>150.2</v>
      </c>
      <c r="AA11" s="154">
        <v>156.1</v>
      </c>
      <c r="AB11" s="154">
        <v>159.5</v>
      </c>
      <c r="AC11" s="154">
        <v>160.7</v>
      </c>
      <c r="AD11" s="154">
        <v>160.1</v>
      </c>
      <c r="AE11" s="165">
        <v>160.2</v>
      </c>
    </row>
    <row r="12" spans="2:31" ht="15" customHeight="1">
      <c r="B12" s="582"/>
      <c r="C12" s="586"/>
      <c r="D12" s="586"/>
      <c r="E12" s="600"/>
      <c r="F12" s="587"/>
      <c r="G12" s="6"/>
      <c r="H12" s="6"/>
      <c r="I12" s="6"/>
      <c r="J12" s="6"/>
      <c r="K12" s="6"/>
      <c r="L12" s="6"/>
      <c r="M12" s="6"/>
      <c r="N12" s="6"/>
      <c r="O12" s="330" t="s">
        <v>139</v>
      </c>
      <c r="P12" s="155">
        <v>115.6</v>
      </c>
      <c r="Q12" s="156">
        <v>114.7</v>
      </c>
      <c r="R12" s="157">
        <v>114.4</v>
      </c>
      <c r="S12" s="219">
        <v>114.3</v>
      </c>
      <c r="T12" s="219">
        <v>114.1</v>
      </c>
      <c r="U12" s="219">
        <v>117.7</v>
      </c>
      <c r="V12" s="219">
        <v>125.1</v>
      </c>
      <c r="W12" s="219">
        <v>129.5</v>
      </c>
      <c r="X12" s="219">
        <v>140.6</v>
      </c>
      <c r="Y12" s="130">
        <v>143.3</v>
      </c>
      <c r="Z12" s="200">
        <v>148</v>
      </c>
      <c r="AA12" s="154">
        <v>155.9</v>
      </c>
      <c r="AB12" s="154">
        <v>162.2</v>
      </c>
      <c r="AC12" s="154">
        <v>172.8</v>
      </c>
      <c r="AD12" s="154">
        <v>183.4</v>
      </c>
      <c r="AE12" s="165">
        <v>188.6</v>
      </c>
    </row>
    <row r="13" spans="2:31" ht="15" customHeight="1" thickBot="1">
      <c r="B13" s="582" t="s">
        <v>311</v>
      </c>
      <c r="C13" s="586">
        <v>112.55711341983978</v>
      </c>
      <c r="D13" s="586">
        <v>112.50058035068417</v>
      </c>
      <c r="E13" s="600">
        <v>113.58841003187612</v>
      </c>
      <c r="F13" s="587">
        <f>IF(E13=D13,"                               -  ",(E13/D13)*100-100)</f>
        <v>0.9669547284120625</v>
      </c>
      <c r="G13" s="6"/>
      <c r="H13" s="6"/>
      <c r="I13" s="6"/>
      <c r="J13" s="6"/>
      <c r="K13" s="6"/>
      <c r="L13" s="6"/>
      <c r="M13" s="6"/>
      <c r="N13" s="6"/>
      <c r="O13" s="331"/>
      <c r="P13" s="135"/>
      <c r="Q13" s="131"/>
      <c r="R13" s="153"/>
      <c r="S13" s="153"/>
      <c r="T13" s="153"/>
      <c r="U13" s="153"/>
      <c r="V13" s="153"/>
      <c r="W13" s="153"/>
      <c r="X13" s="153"/>
      <c r="Y13" s="131"/>
      <c r="Z13" s="131"/>
      <c r="AA13" s="153"/>
      <c r="AB13" s="153"/>
      <c r="AC13" s="153"/>
      <c r="AD13" s="153"/>
      <c r="AE13" s="186"/>
    </row>
    <row r="14" spans="2:15" ht="15" customHeight="1" thickBot="1">
      <c r="B14" s="582"/>
      <c r="C14" s="586"/>
      <c r="D14" s="586"/>
      <c r="E14" s="600"/>
      <c r="F14" s="587"/>
      <c r="G14" s="6"/>
      <c r="H14" s="6"/>
      <c r="I14" s="6"/>
      <c r="J14" s="6"/>
      <c r="K14" s="6"/>
      <c r="L14" s="6"/>
      <c r="M14" s="6"/>
      <c r="N14" s="6"/>
      <c r="O14" s="5"/>
    </row>
    <row r="15" spans="2:31" ht="15" customHeight="1">
      <c r="B15" s="582" t="s">
        <v>312</v>
      </c>
      <c r="C15" s="586">
        <v>98.80286241993466</v>
      </c>
      <c r="D15" s="586">
        <v>99.4950905495295</v>
      </c>
      <c r="E15" s="600">
        <v>100.58473509027787</v>
      </c>
      <c r="F15" s="587">
        <f>IF(E15=D15,"                               -  ",(E15/D15)*100-100)</f>
        <v>1.0951741786756202</v>
      </c>
      <c r="G15" s="6"/>
      <c r="H15" s="6"/>
      <c r="I15" s="6"/>
      <c r="J15" s="6"/>
      <c r="K15" s="6"/>
      <c r="L15" s="6"/>
      <c r="M15" s="6"/>
      <c r="N15" s="6"/>
      <c r="O15" s="647" t="s">
        <v>63</v>
      </c>
      <c r="P15" s="651"/>
      <c r="Q15" s="737" t="s">
        <v>27</v>
      </c>
      <c r="R15" s="738"/>
      <c r="S15" s="738"/>
      <c r="T15" s="738"/>
      <c r="U15" s="738"/>
      <c r="V15" s="738"/>
      <c r="W15" s="738"/>
      <c r="X15" s="738"/>
      <c r="Y15" s="738"/>
      <c r="Z15" s="738"/>
      <c r="AA15" s="738"/>
      <c r="AB15" s="738"/>
      <c r="AC15" s="738"/>
      <c r="AD15" s="738"/>
      <c r="AE15" s="739"/>
    </row>
    <row r="16" spans="2:31" ht="15" customHeight="1" thickBot="1">
      <c r="B16" s="582"/>
      <c r="C16" s="586"/>
      <c r="D16" s="586"/>
      <c r="E16" s="600"/>
      <c r="F16" s="587"/>
      <c r="G16" s="6"/>
      <c r="H16" s="6"/>
      <c r="I16" s="6"/>
      <c r="J16" s="6"/>
      <c r="K16" s="6"/>
      <c r="L16" s="6"/>
      <c r="M16" s="6"/>
      <c r="N16" s="6"/>
      <c r="O16" s="736"/>
      <c r="P16" s="656"/>
      <c r="Q16" s="334" t="s">
        <v>0</v>
      </c>
      <c r="R16" s="332" t="s">
        <v>125</v>
      </c>
      <c r="S16" s="333" t="s">
        <v>140</v>
      </c>
      <c r="T16" s="333" t="s">
        <v>153</v>
      </c>
      <c r="U16" s="333" t="s">
        <v>161</v>
      </c>
      <c r="V16" s="333" t="s">
        <v>169</v>
      </c>
      <c r="W16" s="332" t="s">
        <v>171</v>
      </c>
      <c r="X16" s="333" t="s">
        <v>173</v>
      </c>
      <c r="Y16" s="333" t="s">
        <v>180</v>
      </c>
      <c r="Z16" s="332" t="s">
        <v>183</v>
      </c>
      <c r="AA16" s="376" t="s">
        <v>188</v>
      </c>
      <c r="AB16" s="333" t="s">
        <v>196</v>
      </c>
      <c r="AC16" s="333" t="s">
        <v>223</v>
      </c>
      <c r="AD16" s="333" t="s">
        <v>283</v>
      </c>
      <c r="AE16" s="544" t="s">
        <v>291</v>
      </c>
    </row>
    <row r="17" spans="2:31" ht="15" customHeight="1">
      <c r="B17" s="582" t="s">
        <v>313</v>
      </c>
      <c r="C17" s="586">
        <v>106.11111111111111</v>
      </c>
      <c r="D17" s="586">
        <v>106.11111111111111</v>
      </c>
      <c r="E17" s="600">
        <v>106.11111111111111</v>
      </c>
      <c r="F17" s="587"/>
      <c r="G17" s="6"/>
      <c r="H17" s="6"/>
      <c r="I17" s="6"/>
      <c r="J17" s="6"/>
      <c r="K17" s="6"/>
      <c r="L17" s="6"/>
      <c r="M17" s="6"/>
      <c r="N17" s="6"/>
      <c r="O17" s="732"/>
      <c r="P17" s="733"/>
      <c r="Q17" s="335"/>
      <c r="R17" s="199"/>
      <c r="S17" s="220"/>
      <c r="T17" s="220"/>
      <c r="U17" s="220"/>
      <c r="V17" s="220"/>
      <c r="W17" s="252"/>
      <c r="X17" s="355"/>
      <c r="Y17" s="355"/>
      <c r="Z17" s="252"/>
      <c r="AA17" s="377"/>
      <c r="AB17" s="355"/>
      <c r="AC17" s="355"/>
      <c r="AD17" s="355"/>
      <c r="AE17" s="381"/>
    </row>
    <row r="18" spans="2:31" ht="15" customHeight="1">
      <c r="B18" s="582"/>
      <c r="C18" s="586"/>
      <c r="D18" s="586"/>
      <c r="E18" s="600"/>
      <c r="F18" s="587"/>
      <c r="G18" s="6"/>
      <c r="H18" s="6"/>
      <c r="I18" s="6"/>
      <c r="J18" s="6"/>
      <c r="K18" s="6"/>
      <c r="L18" s="6"/>
      <c r="M18" s="6"/>
      <c r="N18" s="6"/>
      <c r="O18" s="744" t="s">
        <v>51</v>
      </c>
      <c r="P18" s="745"/>
      <c r="Q18" s="336">
        <f aca="true" t="shared" si="0" ref="Q18:AE18">(+Q8/P8-1)*100</f>
        <v>-2.9999999999999916</v>
      </c>
      <c r="R18" s="200">
        <f t="shared" si="0"/>
        <v>1.632302405498276</v>
      </c>
      <c r="S18" s="154">
        <f t="shared" si="0"/>
        <v>4.395604395604402</v>
      </c>
      <c r="T18" s="154">
        <f t="shared" si="0"/>
        <v>5.668016194331993</v>
      </c>
      <c r="U18" s="154">
        <f t="shared" si="0"/>
        <v>6.053639846743297</v>
      </c>
      <c r="V18" s="154">
        <f t="shared" si="0"/>
        <v>5.346820809248554</v>
      </c>
      <c r="W18" s="200">
        <f t="shared" si="0"/>
        <v>15.775034293552803</v>
      </c>
      <c r="X18" s="154">
        <f t="shared" si="0"/>
        <v>-6.694312796208535</v>
      </c>
      <c r="Y18" s="154">
        <f t="shared" si="0"/>
        <v>3.8730158730158726</v>
      </c>
      <c r="Z18" s="200">
        <f t="shared" si="0"/>
        <v>11.858190709046458</v>
      </c>
      <c r="AA18" s="378">
        <f t="shared" si="0"/>
        <v>4.699453551912569</v>
      </c>
      <c r="AB18" s="154">
        <f t="shared" si="0"/>
        <v>0.15657620041753528</v>
      </c>
      <c r="AC18" s="154">
        <f t="shared" si="0"/>
        <v>-1.6154247003647648</v>
      </c>
      <c r="AD18" s="154">
        <f t="shared" si="0"/>
        <v>-5.720338983050855</v>
      </c>
      <c r="AE18" s="165">
        <f t="shared" si="0"/>
        <v>-0.8426966292134797</v>
      </c>
    </row>
    <row r="19" spans="2:31" ht="15" customHeight="1">
      <c r="B19" s="582" t="s">
        <v>314</v>
      </c>
      <c r="C19" s="586">
        <v>102.55724261823386</v>
      </c>
      <c r="D19" s="586">
        <v>102.76496717598107</v>
      </c>
      <c r="E19" s="600">
        <v>101.52586688292021</v>
      </c>
      <c r="F19" s="587">
        <f>IF(E19=D19,"                               -  ",(E19/D19)*100-100)</f>
        <v>-1.205761386503383</v>
      </c>
      <c r="G19" s="6"/>
      <c r="H19" s="6"/>
      <c r="I19" s="6"/>
      <c r="J19" s="6"/>
      <c r="K19" s="6"/>
      <c r="L19" s="6"/>
      <c r="M19" s="6"/>
      <c r="N19" s="6"/>
      <c r="O19" s="746"/>
      <c r="P19" s="747"/>
      <c r="Q19" s="337"/>
      <c r="R19" s="201"/>
      <c r="S19" s="221"/>
      <c r="T19" s="221"/>
      <c r="U19" s="221"/>
      <c r="V19" s="221"/>
      <c r="W19" s="201"/>
      <c r="X19" s="221"/>
      <c r="Y19" s="221"/>
      <c r="Z19" s="201"/>
      <c r="AA19" s="379"/>
      <c r="AB19" s="221"/>
      <c r="AC19" s="221"/>
      <c r="AD19" s="221"/>
      <c r="AE19" s="382"/>
    </row>
    <row r="20" spans="2:31" ht="15" customHeight="1">
      <c r="B20" s="582"/>
      <c r="C20" s="586"/>
      <c r="D20" s="586"/>
      <c r="E20" s="600"/>
      <c r="F20" s="587"/>
      <c r="G20" s="6"/>
      <c r="H20" s="6"/>
      <c r="I20" s="6"/>
      <c r="J20" s="6"/>
      <c r="K20" s="6"/>
      <c r="L20" s="6"/>
      <c r="M20" s="6"/>
      <c r="N20" s="6"/>
      <c r="O20" s="742" t="s">
        <v>118</v>
      </c>
      <c r="P20" s="743"/>
      <c r="Q20" s="338">
        <f aca="true" t="shared" si="1" ref="Q20:AE20">(+Q10/P10-1)*100</f>
        <v>-4.471858134155726</v>
      </c>
      <c r="R20" s="200">
        <f t="shared" si="1"/>
        <v>1.6142050040355072</v>
      </c>
      <c r="S20" s="154">
        <f t="shared" si="1"/>
        <v>7.307386814932482</v>
      </c>
      <c r="T20" s="154">
        <f t="shared" si="1"/>
        <v>10.362694300518127</v>
      </c>
      <c r="U20" s="154">
        <f t="shared" si="1"/>
        <v>10.127431254191821</v>
      </c>
      <c r="V20" s="154">
        <f t="shared" si="1"/>
        <v>5.785627283800254</v>
      </c>
      <c r="W20" s="200">
        <f t="shared" si="1"/>
        <v>21.128382268278646</v>
      </c>
      <c r="X20" s="154">
        <f t="shared" si="1"/>
        <v>-14.115969581749056</v>
      </c>
      <c r="Y20" s="154">
        <f t="shared" si="1"/>
        <v>6.862202545655793</v>
      </c>
      <c r="Z20" s="200">
        <f t="shared" si="1"/>
        <v>17.08959088555153</v>
      </c>
      <c r="AA20" s="378">
        <f t="shared" si="1"/>
        <v>5.218929677134021</v>
      </c>
      <c r="AB20" s="154">
        <f t="shared" si="1"/>
        <v>-1.8915510718789386</v>
      </c>
      <c r="AC20" s="154">
        <f t="shared" si="1"/>
        <v>-4.755784061696655</v>
      </c>
      <c r="AD20" s="154">
        <f t="shared" si="1"/>
        <v>-12.01079622132254</v>
      </c>
      <c r="AE20" s="165">
        <f t="shared" si="1"/>
        <v>-2.4539877300613355</v>
      </c>
    </row>
    <row r="21" spans="2:31" ht="15" customHeight="1">
      <c r="B21" s="582" t="s">
        <v>315</v>
      </c>
      <c r="C21" s="586">
        <v>102.52329990248523</v>
      </c>
      <c r="D21" s="586">
        <v>102.52329990248523</v>
      </c>
      <c r="E21" s="600">
        <v>102.52329990248523</v>
      </c>
      <c r="F21" s="587"/>
      <c r="G21" s="6"/>
      <c r="H21" s="6"/>
      <c r="I21" s="6"/>
      <c r="J21" s="6"/>
      <c r="K21" s="6"/>
      <c r="L21" s="6"/>
      <c r="M21" s="6"/>
      <c r="N21" s="6"/>
      <c r="O21" s="742" t="s">
        <v>119</v>
      </c>
      <c r="P21" s="743"/>
      <c r="Q21" s="338">
        <f aca="true" t="shared" si="2" ref="Q21:AE21">(+Q11/P11-1)*100</f>
        <v>-1.878354203935595</v>
      </c>
      <c r="R21" s="200">
        <f t="shared" si="2"/>
        <v>2.9170464904284543</v>
      </c>
      <c r="S21" s="154">
        <f t="shared" si="2"/>
        <v>1.6829052258635846</v>
      </c>
      <c r="T21" s="154">
        <f t="shared" si="2"/>
        <v>1.5679442508710784</v>
      </c>
      <c r="U21" s="154">
        <f t="shared" si="2"/>
        <v>1.8010291595197403</v>
      </c>
      <c r="V21" s="154">
        <f t="shared" si="2"/>
        <v>4.549283909014323</v>
      </c>
      <c r="W21" s="200">
        <f t="shared" si="2"/>
        <v>11.603545527800163</v>
      </c>
      <c r="X21" s="154">
        <f t="shared" si="2"/>
        <v>0.6498194945848468</v>
      </c>
      <c r="Y21" s="154">
        <f t="shared" si="2"/>
        <v>0.9325681492108995</v>
      </c>
      <c r="Z21" s="200">
        <f t="shared" si="2"/>
        <v>6.751954513148539</v>
      </c>
      <c r="AA21" s="378">
        <f t="shared" si="2"/>
        <v>3.928095872170445</v>
      </c>
      <c r="AB21" s="154">
        <f t="shared" si="2"/>
        <v>2.1780909673286386</v>
      </c>
      <c r="AC21" s="154">
        <f t="shared" si="2"/>
        <v>0.7523510971786829</v>
      </c>
      <c r="AD21" s="154">
        <f t="shared" si="2"/>
        <v>-0.37336652146857663</v>
      </c>
      <c r="AE21" s="165">
        <f t="shared" si="2"/>
        <v>0.06246096189881367</v>
      </c>
    </row>
    <row r="22" spans="2:31" ht="15" customHeight="1">
      <c r="B22" s="582"/>
      <c r="C22" s="586"/>
      <c r="D22" s="586"/>
      <c r="E22" s="600"/>
      <c r="F22" s="587"/>
      <c r="G22" s="6"/>
      <c r="H22" s="6"/>
      <c r="I22" s="6"/>
      <c r="J22" s="6"/>
      <c r="K22" s="6"/>
      <c r="L22" s="6"/>
      <c r="M22" s="6"/>
      <c r="N22" s="6"/>
      <c r="O22" s="742" t="s">
        <v>139</v>
      </c>
      <c r="P22" s="743"/>
      <c r="Q22" s="338">
        <f aca="true" t="shared" si="3" ref="Q22:AE22">(+Q12/P12-1)*100</f>
        <v>-0.7785467128027634</v>
      </c>
      <c r="R22" s="200">
        <f t="shared" si="3"/>
        <v>-0.26155187445510153</v>
      </c>
      <c r="S22" s="154">
        <f t="shared" si="3"/>
        <v>-0.08741258741259417</v>
      </c>
      <c r="T22" s="154">
        <f t="shared" si="3"/>
        <v>-0.17497812773403787</v>
      </c>
      <c r="U22" s="154">
        <f t="shared" si="3"/>
        <v>3.1551270815074473</v>
      </c>
      <c r="V22" s="154">
        <f t="shared" si="3"/>
        <v>6.287170773152084</v>
      </c>
      <c r="W22" s="200">
        <f t="shared" si="3"/>
        <v>3.517186250999216</v>
      </c>
      <c r="X22" s="154">
        <f t="shared" si="3"/>
        <v>8.571428571428562</v>
      </c>
      <c r="Y22" s="154">
        <f t="shared" si="3"/>
        <v>1.9203413940256153</v>
      </c>
      <c r="Z22" s="200">
        <f t="shared" si="3"/>
        <v>3.2798325191905064</v>
      </c>
      <c r="AA22" s="378">
        <f t="shared" si="3"/>
        <v>5.337837837837833</v>
      </c>
      <c r="AB22" s="154">
        <f t="shared" si="3"/>
        <v>4.041051956382291</v>
      </c>
      <c r="AC22" s="154">
        <f t="shared" si="3"/>
        <v>6.535141800246613</v>
      </c>
      <c r="AD22" s="154">
        <f t="shared" si="3"/>
        <v>6.134259259259256</v>
      </c>
      <c r="AE22" s="165">
        <f t="shared" si="3"/>
        <v>2.8353326063249584</v>
      </c>
    </row>
    <row r="23" spans="2:31" ht="15" customHeight="1" thickBot="1">
      <c r="B23" s="582" t="s">
        <v>316</v>
      </c>
      <c r="C23" s="586">
        <v>114.36820295536452</v>
      </c>
      <c r="D23" s="586">
        <v>99.33606192103399</v>
      </c>
      <c r="E23" s="600">
        <v>118.87056198702987</v>
      </c>
      <c r="F23" s="587">
        <f>IF(E23=D23,"                               -  ",(E23/D23)*100-100)</f>
        <v>19.665063913571075</v>
      </c>
      <c r="G23" s="6"/>
      <c r="H23" s="6"/>
      <c r="I23" s="6"/>
      <c r="J23" s="6"/>
      <c r="K23" s="6"/>
      <c r="L23" s="6"/>
      <c r="M23" s="6"/>
      <c r="N23" s="6"/>
      <c r="O23" s="757"/>
      <c r="P23" s="758"/>
      <c r="Q23" s="135"/>
      <c r="R23" s="202"/>
      <c r="S23" s="222"/>
      <c r="T23" s="222"/>
      <c r="U23" s="222"/>
      <c r="V23" s="222"/>
      <c r="W23" s="202"/>
      <c r="X23" s="222"/>
      <c r="Y23" s="222"/>
      <c r="Z23" s="202"/>
      <c r="AA23" s="380"/>
      <c r="AB23" s="222"/>
      <c r="AC23" s="222"/>
      <c r="AD23" s="222"/>
      <c r="AE23" s="383"/>
    </row>
    <row r="24" spans="2:15" ht="15" customHeight="1">
      <c r="B24" s="582"/>
      <c r="C24" s="586"/>
      <c r="D24" s="586"/>
      <c r="E24" s="600"/>
      <c r="F24" s="587"/>
      <c r="G24" s="6"/>
      <c r="H24" s="6"/>
      <c r="I24" s="6"/>
      <c r="J24" s="6"/>
      <c r="K24" s="6"/>
      <c r="L24" s="6"/>
      <c r="M24" s="6"/>
      <c r="N24" s="6"/>
      <c r="O24" s="5"/>
    </row>
    <row r="25" spans="2:15" ht="15" customHeight="1">
      <c r="B25" s="582" t="s">
        <v>317</v>
      </c>
      <c r="C25" s="586">
        <v>107.57338975352108</v>
      </c>
      <c r="D25" s="586">
        <v>109.30986175532033</v>
      </c>
      <c r="E25" s="600">
        <v>111.19130227034461</v>
      </c>
      <c r="F25" s="587">
        <f>IF(E25=D25,"                               -  ",(E25/D25)*100-100)</f>
        <v>1.7211992447998057</v>
      </c>
      <c r="G25" s="6"/>
      <c r="H25" s="6"/>
      <c r="I25" s="6"/>
      <c r="J25" s="6"/>
      <c r="K25" s="6"/>
      <c r="L25" s="6"/>
      <c r="M25" s="6"/>
      <c r="N25" s="6"/>
      <c r="O25" s="5" t="s">
        <v>28</v>
      </c>
    </row>
    <row r="26" spans="2:15" ht="15" customHeight="1">
      <c r="B26" s="582"/>
      <c r="C26" s="586"/>
      <c r="D26" s="586"/>
      <c r="E26" s="600"/>
      <c r="F26" s="587"/>
      <c r="G26" s="6"/>
      <c r="H26" s="6"/>
      <c r="I26" s="6"/>
      <c r="J26" s="6"/>
      <c r="K26" s="6"/>
      <c r="L26" s="6"/>
      <c r="M26" s="6"/>
      <c r="N26" s="6"/>
      <c r="O26" s="5" t="s">
        <v>275</v>
      </c>
    </row>
    <row r="27" spans="2:15" ht="15" customHeight="1">
      <c r="B27" s="582" t="s">
        <v>318</v>
      </c>
      <c r="C27" s="586">
        <v>94.84644219301929</v>
      </c>
      <c r="D27" s="586">
        <v>95.59697571449581</v>
      </c>
      <c r="E27" s="600">
        <v>105.80287572024787</v>
      </c>
      <c r="F27" s="587">
        <f>IF(D27=C27,"                               -  ",(D27/C27)*100-100)</f>
        <v>0.7913143646960776</v>
      </c>
      <c r="G27" s="6"/>
      <c r="H27" s="6"/>
      <c r="I27" s="6"/>
      <c r="J27" s="6"/>
      <c r="K27" s="6"/>
      <c r="L27" s="6"/>
      <c r="M27" s="6"/>
      <c r="N27" s="6"/>
      <c r="O27" s="5"/>
    </row>
    <row r="28" spans="2:15" ht="15" customHeight="1">
      <c r="B28" s="582"/>
      <c r="C28" s="586"/>
      <c r="D28" s="586"/>
      <c r="E28" s="600"/>
      <c r="F28" s="587"/>
      <c r="G28" s="6"/>
      <c r="H28" s="6"/>
      <c r="I28" s="6"/>
      <c r="J28" s="6"/>
      <c r="K28" s="6"/>
      <c r="L28" s="6"/>
      <c r="M28" s="6"/>
      <c r="N28" s="6"/>
      <c r="O28" s="5"/>
    </row>
    <row r="29" spans="2:18" ht="15" customHeight="1">
      <c r="B29" s="582" t="s">
        <v>319</v>
      </c>
      <c r="C29" s="586">
        <v>100.49568464682253</v>
      </c>
      <c r="D29" s="586">
        <v>100.50329923449746</v>
      </c>
      <c r="E29" s="600">
        <v>102.30828942325132</v>
      </c>
      <c r="F29" s="587">
        <f>IF(E29=D29,"                               -  ",(E29/D29)*100-100)</f>
        <v>1.7959511802119152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2:18" ht="15" customHeight="1">
      <c r="B30" s="582"/>
      <c r="C30" s="586"/>
      <c r="D30" s="586"/>
      <c r="E30" s="600"/>
      <c r="F30" s="58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2:18" ht="15" customHeight="1">
      <c r="B31" s="582" t="s">
        <v>320</v>
      </c>
      <c r="C31" s="586">
        <v>116.18259414540744</v>
      </c>
      <c r="D31" s="586">
        <v>115.75525674229786</v>
      </c>
      <c r="E31" s="600">
        <v>145.43500580809055</v>
      </c>
      <c r="F31" s="587">
        <f>IF(E31=D31,"                               -  ",(E31/D31)*100-100)</f>
        <v>25.640087457857533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2:18" ht="15" customHeight="1">
      <c r="B32" s="582"/>
      <c r="C32" s="586"/>
      <c r="D32" s="586"/>
      <c r="E32" s="600"/>
      <c r="F32" s="58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2:18" ht="15" customHeight="1">
      <c r="B33" s="582" t="s">
        <v>321</v>
      </c>
      <c r="C33" s="586">
        <v>100.94428259275506</v>
      </c>
      <c r="D33" s="586">
        <v>100.94428259275506</v>
      </c>
      <c r="E33" s="600">
        <v>97.1</v>
      </c>
      <c r="F33" s="587">
        <f>IF(E33=D33,"                               -  ",(E33/D33)*100-100)</f>
        <v>-3.808321277852116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2:18" ht="15" customHeight="1">
      <c r="B34" s="582"/>
      <c r="C34" s="586"/>
      <c r="D34" s="586"/>
      <c r="E34" s="600"/>
      <c r="F34" s="58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2:18" ht="15" customHeight="1">
      <c r="B35" s="582" t="s">
        <v>322</v>
      </c>
      <c r="C35" s="586">
        <v>101.12421807803457</v>
      </c>
      <c r="D35" s="586">
        <v>103.43273090025771</v>
      </c>
      <c r="E35" s="600">
        <v>104.23462810277962</v>
      </c>
      <c r="F35" s="587">
        <f>IF(E35=D35,"                               -  ",(E35/D35)*100-100)</f>
        <v>0.7752837960888854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2:18" ht="15" customHeight="1">
      <c r="B36" s="582"/>
      <c r="C36" s="586"/>
      <c r="D36" s="586"/>
      <c r="E36" s="600"/>
      <c r="F36" s="58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2:18" ht="15" customHeight="1">
      <c r="B37" s="582" t="s">
        <v>323</v>
      </c>
      <c r="C37" s="586">
        <v>103.97266529755241</v>
      </c>
      <c r="D37" s="586">
        <v>103.0276065806172</v>
      </c>
      <c r="E37" s="600">
        <v>97.3582011147258</v>
      </c>
      <c r="F37" s="587">
        <f>IF(E37=D37,"                               -  ",(E37/D37)*100-100)</f>
        <v>-5.5028022624743755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2:18" ht="15" customHeight="1">
      <c r="B38" s="582"/>
      <c r="C38" s="586"/>
      <c r="D38" s="586"/>
      <c r="E38" s="600"/>
      <c r="F38" s="587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2:18" ht="15" customHeight="1">
      <c r="B39" s="582" t="s">
        <v>324</v>
      </c>
      <c r="C39" s="586">
        <v>112.76928059691933</v>
      </c>
      <c r="D39" s="586">
        <v>111.08994161355953</v>
      </c>
      <c r="E39" s="600">
        <v>109.54782827518974</v>
      </c>
      <c r="F39" s="587">
        <f>IF(E39=D39,"                               -  ",(E39/D39)*100-100)</f>
        <v>-1.3881664856159688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2:18" ht="15" customHeight="1">
      <c r="B40" s="582"/>
      <c r="C40" s="586"/>
      <c r="D40" s="586"/>
      <c r="E40" s="600"/>
      <c r="F40" s="587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2:18" ht="15" customHeight="1">
      <c r="B41" s="582" t="s">
        <v>325</v>
      </c>
      <c r="C41" s="586">
        <v>107.31064268431926</v>
      </c>
      <c r="D41" s="586">
        <v>109.01478864264632</v>
      </c>
      <c r="E41" s="600">
        <v>109.93969107374961</v>
      </c>
      <c r="F41" s="587">
        <f>IF(E41=D41,"                               -  ",(E41/D41)*100-100)</f>
        <v>0.8484192306560772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2:18" ht="15" customHeight="1">
      <c r="B42" s="582"/>
      <c r="C42" s="586"/>
      <c r="D42" s="586"/>
      <c r="E42" s="600"/>
      <c r="F42" s="587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2:18" ht="15" customHeight="1">
      <c r="B43" s="582" t="s">
        <v>326</v>
      </c>
      <c r="C43" s="586">
        <v>101.97376539416146</v>
      </c>
      <c r="D43" s="586">
        <v>104.81737649266154</v>
      </c>
      <c r="E43" s="600">
        <v>105.65029437862037</v>
      </c>
      <c r="F43" s="587">
        <f>IF(E43=D43,"                               -  ",(E43/D43)*100-100)</f>
        <v>0.7946372193518414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2:18" ht="15" customHeight="1">
      <c r="B44" s="582"/>
      <c r="C44" s="586"/>
      <c r="D44" s="586"/>
      <c r="E44" s="600"/>
      <c r="F44" s="587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2:18" ht="15" customHeight="1">
      <c r="B45" s="582" t="s">
        <v>327</v>
      </c>
      <c r="C45" s="586">
        <v>104.73228557964877</v>
      </c>
      <c r="D45" s="586">
        <v>102.4632358202077</v>
      </c>
      <c r="E45" s="600">
        <v>104.76986683990668</v>
      </c>
      <c r="F45" s="587">
        <f>IF(E45=D45,"                               -  ",(E45/D45)*100-100)</f>
        <v>2.2511791680544206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2:18" ht="15" customHeight="1">
      <c r="B46" s="582"/>
      <c r="C46" s="586"/>
      <c r="D46" s="586"/>
      <c r="E46" s="600"/>
      <c r="F46" s="587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2:18" ht="15" customHeight="1">
      <c r="B47" s="582" t="s">
        <v>328</v>
      </c>
      <c r="C47" s="586">
        <v>102.60273770019552</v>
      </c>
      <c r="D47" s="586">
        <v>103.29760205082499</v>
      </c>
      <c r="E47" s="600">
        <v>103.29760205082499</v>
      </c>
      <c r="F47" s="587" t="str">
        <f>IF(E47=D47,"                               -  ",(E47/D47)*100-100)</f>
        <v>                               -  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2:18" ht="15" customHeight="1">
      <c r="B48" s="582"/>
      <c r="C48" s="586"/>
      <c r="D48" s="586"/>
      <c r="E48" s="600"/>
      <c r="F48" s="587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2:18" ht="15" customHeight="1" thickBot="1">
      <c r="B49" s="583" t="s">
        <v>329</v>
      </c>
      <c r="C49" s="588">
        <v>106.7943249795586</v>
      </c>
      <c r="D49" s="588">
        <v>107.73235240502439</v>
      </c>
      <c r="E49" s="601">
        <v>113.14862614809682</v>
      </c>
      <c r="F49" s="602">
        <f>IF(E49=D49,"                               -  ",(E49/D49)*100-100)</f>
        <v>5.027527592370504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2:18" ht="15" customHeight="1">
      <c r="B50" s="572" t="s">
        <v>331</v>
      </c>
      <c r="C50" s="573"/>
      <c r="D50" s="573"/>
      <c r="E50" s="573"/>
      <c r="F50" s="573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2:18" ht="15" customHeight="1">
      <c r="B51" s="756"/>
      <c r="C51" s="756"/>
      <c r="D51" s="756"/>
      <c r="E51" s="756"/>
      <c r="F51" s="75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2:18" ht="15" customHeight="1">
      <c r="B52" s="572"/>
      <c r="C52" s="572"/>
      <c r="D52" s="572"/>
      <c r="E52" s="572"/>
      <c r="F52" s="572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2:18" ht="15" customHeight="1">
      <c r="B53" s="572"/>
      <c r="C53" s="574"/>
      <c r="D53" s="574"/>
      <c r="E53" s="574"/>
      <c r="F53" s="573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2:18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2:18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2:18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2:18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2:18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2:18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2:18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2:18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2:18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2:18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2:18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2:18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2:18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2:18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2:18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2:18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2:19" ht="15" customHeight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2:19" ht="15" customHeight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2:19" ht="15" customHeight="1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2:19" ht="15" customHeight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2:19" ht="15" customHeight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2:19" ht="15" customHeight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2:19" ht="15" customHeigh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2:19" ht="15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2:19" ht="15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2:19" ht="15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2:19" ht="15" customHeight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2:19" ht="15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2:19" ht="15" customHeight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2:19" ht="15" customHeight="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2:19" ht="15" customHeight="1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2:19" ht="15" customHeight="1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2:19" ht="15" customHeight="1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2:19" ht="15" customHeight="1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2:19" ht="15" customHeight="1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2:19" ht="15" customHeight="1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2:19" ht="15" customHeight="1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2:19" ht="15" customHeight="1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2:19" ht="15" customHeight="1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2:19" ht="15" customHeight="1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2:19" ht="15" customHeight="1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2:19" ht="15" customHeight="1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2:19" ht="15" customHeight="1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</sheetData>
  <sheetProtection/>
  <mergeCells count="34">
    <mergeCell ref="B5:B7"/>
    <mergeCell ref="F5:F7"/>
    <mergeCell ref="B51:F51"/>
    <mergeCell ref="B1:F1"/>
    <mergeCell ref="T5:T6"/>
    <mergeCell ref="O3:AD3"/>
    <mergeCell ref="P5:P6"/>
    <mergeCell ref="Q5:Q6"/>
    <mergeCell ref="R5:R6"/>
    <mergeCell ref="O23:P23"/>
    <mergeCell ref="O4:AD4"/>
    <mergeCell ref="O20:P20"/>
    <mergeCell ref="O21:P21"/>
    <mergeCell ref="O22:P22"/>
    <mergeCell ref="O18:P18"/>
    <mergeCell ref="O19:P19"/>
    <mergeCell ref="O5:O6"/>
    <mergeCell ref="AC5:AC6"/>
    <mergeCell ref="AD5:AD6"/>
    <mergeCell ref="Z5:Z6"/>
    <mergeCell ref="AA5:AA6"/>
    <mergeCell ref="S5:S6"/>
    <mergeCell ref="AE5:AE6"/>
    <mergeCell ref="O15:P16"/>
    <mergeCell ref="Q15:AE15"/>
    <mergeCell ref="AB5:AB6"/>
    <mergeCell ref="U5:U6"/>
    <mergeCell ref="V5:V6"/>
    <mergeCell ref="C5:E5"/>
    <mergeCell ref="C6:E6"/>
    <mergeCell ref="O17:P17"/>
    <mergeCell ref="W5:W6"/>
    <mergeCell ref="X5:X6"/>
    <mergeCell ref="Y5:Y6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B1:Q59"/>
  <sheetViews>
    <sheetView zoomScalePageLayoutView="0" workbookViewId="0" topLeftCell="A1">
      <selection activeCell="P21" sqref="P21"/>
    </sheetView>
  </sheetViews>
  <sheetFormatPr defaultColWidth="10.7109375" defaultRowHeight="15" customHeight="1"/>
  <cols>
    <col min="1" max="1" width="2.7109375" style="61" customWidth="1"/>
    <col min="2" max="10" width="10.7109375" style="61" customWidth="1"/>
    <col min="11" max="11" width="11.7109375" style="61" customWidth="1"/>
    <col min="12" max="12" width="14.57421875" style="61" customWidth="1"/>
    <col min="13" max="13" width="25.7109375" style="61" customWidth="1"/>
    <col min="14" max="14" width="12.8515625" style="61" customWidth="1"/>
    <col min="15" max="15" width="10.7109375" style="61" customWidth="1"/>
    <col min="16" max="16" width="11.7109375" style="61" bestFit="1" customWidth="1"/>
    <col min="17" max="16384" width="10.7109375" style="61" customWidth="1"/>
  </cols>
  <sheetData>
    <row r="1" spans="2:11" ht="15" customHeight="1">
      <c r="B1" s="622" t="s">
        <v>18</v>
      </c>
      <c r="C1" s="622"/>
      <c r="D1" s="622"/>
      <c r="E1" s="622"/>
      <c r="F1" s="622"/>
      <c r="G1" s="622"/>
      <c r="H1" s="622"/>
      <c r="I1" s="622"/>
      <c r="J1" s="622"/>
      <c r="K1" s="622"/>
    </row>
    <row r="2" spans="2:11" ht="15" customHeight="1">
      <c r="B2" s="623" t="s">
        <v>44</v>
      </c>
      <c r="C2" s="623"/>
      <c r="D2" s="623"/>
      <c r="E2" s="623"/>
      <c r="F2" s="623"/>
      <c r="G2" s="623"/>
      <c r="H2" s="623"/>
      <c r="I2" s="623"/>
      <c r="J2" s="623"/>
      <c r="K2" s="623"/>
    </row>
    <row r="3" spans="2:15" ht="15" customHeight="1" thickBot="1">
      <c r="B3" s="623">
        <v>2021</v>
      </c>
      <c r="C3" s="623"/>
      <c r="D3" s="623"/>
      <c r="E3" s="623"/>
      <c r="F3" s="623"/>
      <c r="G3" s="623"/>
      <c r="H3" s="623"/>
      <c r="I3" s="623"/>
      <c r="J3" s="623"/>
      <c r="K3" s="623"/>
      <c r="L3" s="89"/>
      <c r="O3" s="4"/>
    </row>
    <row r="4" spans="11:17" ht="15" customHeight="1">
      <c r="K4" s="90"/>
      <c r="L4" s="90"/>
      <c r="M4" s="339" t="s">
        <v>90</v>
      </c>
      <c r="N4" s="358">
        <v>1398.363266210671</v>
      </c>
      <c r="O4" s="233"/>
      <c r="P4" s="395"/>
      <c r="Q4" s="395"/>
    </row>
    <row r="5" spans="13:17" ht="15" customHeight="1">
      <c r="M5" s="340" t="s">
        <v>69</v>
      </c>
      <c r="N5" s="359">
        <v>254.64508828498506</v>
      </c>
      <c r="O5" s="233"/>
      <c r="P5" s="395"/>
      <c r="Q5" s="357"/>
    </row>
    <row r="6" spans="13:17" ht="15" customHeight="1">
      <c r="M6" s="549" t="s">
        <v>292</v>
      </c>
      <c r="N6" s="359">
        <v>3688.5251979724603</v>
      </c>
      <c r="O6" s="233"/>
      <c r="P6" s="395"/>
      <c r="Q6" s="357"/>
    </row>
    <row r="7" spans="13:17" ht="15" customHeight="1">
      <c r="M7" s="340" t="s">
        <v>91</v>
      </c>
      <c r="N7" s="359">
        <v>3440.629155878474</v>
      </c>
      <c r="O7" s="233"/>
      <c r="P7" s="395"/>
      <c r="Q7" s="357"/>
    </row>
    <row r="8" spans="13:17" ht="15" customHeight="1">
      <c r="M8" s="340" t="s">
        <v>40</v>
      </c>
      <c r="N8" s="359">
        <v>1286.4</v>
      </c>
      <c r="O8" s="233"/>
      <c r="P8" s="395"/>
      <c r="Q8" s="357"/>
    </row>
    <row r="9" spans="13:17" ht="15" customHeight="1">
      <c r="M9" s="340" t="s">
        <v>73</v>
      </c>
      <c r="N9" s="359">
        <v>9191.7</v>
      </c>
      <c r="O9" s="233"/>
      <c r="P9" s="395"/>
      <c r="Q9" s="357"/>
    </row>
    <row r="10" spans="13:17" ht="15" customHeight="1">
      <c r="M10" s="340" t="s">
        <v>88</v>
      </c>
      <c r="N10" s="359">
        <v>11554.202443999999</v>
      </c>
      <c r="O10" s="233"/>
      <c r="P10" s="395"/>
      <c r="Q10" s="357"/>
    </row>
    <row r="11" spans="13:17" ht="15" customHeight="1">
      <c r="M11" s="340" t="s">
        <v>211</v>
      </c>
      <c r="N11" s="359">
        <v>1151.9</v>
      </c>
      <c r="O11" s="233"/>
      <c r="P11" s="395"/>
      <c r="Q11" s="357"/>
    </row>
    <row r="12" spans="13:17" ht="15" customHeight="1">
      <c r="M12" s="340" t="s">
        <v>92</v>
      </c>
      <c r="N12" s="359">
        <v>8004.7</v>
      </c>
      <c r="O12" s="233"/>
      <c r="P12" s="395"/>
      <c r="Q12" s="357"/>
    </row>
    <row r="13" spans="13:17" ht="15" customHeight="1">
      <c r="M13" s="340" t="s">
        <v>93</v>
      </c>
      <c r="N13" s="359">
        <v>4109.9</v>
      </c>
      <c r="O13" s="233"/>
      <c r="P13" s="395"/>
      <c r="Q13" s="357"/>
    </row>
    <row r="14" spans="13:17" ht="15" customHeight="1">
      <c r="M14" s="340" t="s">
        <v>94</v>
      </c>
      <c r="N14" s="359">
        <v>7934.299999999999</v>
      </c>
      <c r="O14" s="233"/>
      <c r="P14" s="395"/>
      <c r="Q14" s="357"/>
    </row>
    <row r="15" spans="13:17" ht="15" customHeight="1">
      <c r="M15" s="340" t="s">
        <v>154</v>
      </c>
      <c r="N15" s="359">
        <v>1685.8</v>
      </c>
      <c r="O15" s="233"/>
      <c r="P15" s="395"/>
      <c r="Q15" s="357"/>
    </row>
    <row r="16" spans="13:17" ht="15" customHeight="1" thickBot="1">
      <c r="M16" s="273" t="s">
        <v>89</v>
      </c>
      <c r="N16" s="360">
        <v>9904</v>
      </c>
      <c r="O16" s="233"/>
      <c r="P16" s="395"/>
      <c r="Q16" s="357"/>
    </row>
    <row r="17" spans="14:17" ht="15" customHeight="1">
      <c r="N17" s="88"/>
      <c r="O17" s="88"/>
      <c r="P17" s="224"/>
      <c r="Q17" s="141"/>
    </row>
    <row r="18" spans="13:16" ht="15" customHeight="1">
      <c r="M18" t="s">
        <v>208</v>
      </c>
      <c r="N18" s="506"/>
      <c r="O18"/>
      <c r="P18" s="224"/>
    </row>
    <row r="19" spans="13:16" ht="15" customHeight="1">
      <c r="M19" t="s">
        <v>209</v>
      </c>
      <c r="N19"/>
      <c r="O19"/>
      <c r="P19" s="224"/>
    </row>
    <row r="20" spans="13:15" ht="15" customHeight="1">
      <c r="M20" t="s">
        <v>210</v>
      </c>
      <c r="N20"/>
      <c r="O20"/>
    </row>
    <row r="21" spans="13:16" ht="15" customHeight="1">
      <c r="M21"/>
      <c r="N21"/>
      <c r="O21"/>
      <c r="P21" s="224"/>
    </row>
    <row r="22" spans="13:16" ht="15" customHeight="1">
      <c r="M22"/>
      <c r="P22" s="224"/>
    </row>
    <row r="23" ht="15" customHeight="1">
      <c r="M23"/>
    </row>
    <row r="24" ht="15" customHeight="1">
      <c r="M24"/>
    </row>
    <row r="25" ht="15" customHeight="1">
      <c r="M25"/>
    </row>
    <row r="26" ht="15" customHeight="1">
      <c r="M26"/>
    </row>
    <row r="27" ht="15" customHeight="1">
      <c r="M27"/>
    </row>
    <row r="28" ht="15" customHeight="1">
      <c r="M28"/>
    </row>
    <row r="30" spans="13:14" ht="15" customHeight="1">
      <c r="M30" s="88"/>
      <c r="N30" s="88"/>
    </row>
    <row r="31" spans="2:15" ht="15" customHeight="1"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2:15" ht="15" customHeight="1"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2:15" ht="15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2:15" ht="15" customHeight="1"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2:15" ht="15" customHeight="1"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2:15" ht="15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2:15" ht="15" customHeight="1"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2:15" ht="15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2:15" ht="15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2:15" ht="15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2:15" ht="15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2:15" ht="15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2:15" ht="15" customHeight="1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2:15" ht="1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2:15" ht="15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2:15" ht="15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2:15" ht="15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2:15" ht="1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2:15" ht="15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2:15" ht="15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5" ht="15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2:15" ht="1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2:15" ht="15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2:15" ht="15" customHeight="1"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2:15" ht="15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2:15" ht="1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2:15" ht="15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2:15" ht="15" customHeight="1"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2:15" ht="15" customHeight="1"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sheetProtection/>
  <mergeCells count="3">
    <mergeCell ref="B1:K1"/>
    <mergeCell ref="B2:K2"/>
    <mergeCell ref="B3:K3"/>
  </mergeCells>
  <printOptions horizontalCentered="1"/>
  <pageMargins left="0.75" right="0.75" top="1" bottom="0.39" header="0.25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B1:AB49"/>
  <sheetViews>
    <sheetView zoomScalePageLayoutView="0" workbookViewId="0" topLeftCell="K1">
      <selection activeCell="AC35" sqref="AC35"/>
    </sheetView>
  </sheetViews>
  <sheetFormatPr defaultColWidth="10.7109375" defaultRowHeight="15" customHeight="1"/>
  <cols>
    <col min="1" max="1" width="2.00390625" style="5" customWidth="1"/>
    <col min="2" max="10" width="10.7109375" style="5" customWidth="1"/>
    <col min="11" max="11" width="2.7109375" style="5" customWidth="1"/>
    <col min="12" max="12" width="10.7109375" style="203" customWidth="1"/>
    <col min="13" max="17" width="10.7109375" style="5" customWidth="1"/>
    <col min="18" max="18" width="14.7109375" style="5" customWidth="1"/>
    <col min="19" max="16384" width="10.7109375" style="5" customWidth="1"/>
  </cols>
  <sheetData>
    <row r="1" spans="2:11" ht="15" customHeight="1">
      <c r="B1" s="622" t="s">
        <v>19</v>
      </c>
      <c r="C1" s="622"/>
      <c r="D1" s="622"/>
      <c r="E1" s="622"/>
      <c r="F1" s="622"/>
      <c r="G1" s="622"/>
      <c r="H1" s="622"/>
      <c r="I1" s="622"/>
      <c r="J1" s="622"/>
      <c r="K1" s="127"/>
    </row>
    <row r="2" spans="2:12" ht="15" customHeight="1" thickBot="1">
      <c r="B2" s="623" t="s">
        <v>155</v>
      </c>
      <c r="C2" s="623"/>
      <c r="D2" s="623"/>
      <c r="E2" s="623"/>
      <c r="F2" s="623"/>
      <c r="G2" s="623"/>
      <c r="H2" s="623"/>
      <c r="I2" s="623"/>
      <c r="J2" s="623"/>
      <c r="L2"/>
    </row>
    <row r="3" spans="2:19" ht="15" customHeight="1">
      <c r="B3" s="623" t="s">
        <v>212</v>
      </c>
      <c r="C3" s="623"/>
      <c r="D3" s="623"/>
      <c r="E3" s="623"/>
      <c r="F3" s="623"/>
      <c r="G3" s="623"/>
      <c r="H3" s="623"/>
      <c r="I3" s="623"/>
      <c r="J3" s="623"/>
      <c r="L3" s="629" t="s">
        <v>53</v>
      </c>
      <c r="M3" s="637" t="s">
        <v>51</v>
      </c>
      <c r="N3" s="638"/>
      <c r="O3" s="632" t="s">
        <v>95</v>
      </c>
      <c r="Q3" s="629" t="s">
        <v>53</v>
      </c>
      <c r="R3" s="533" t="s">
        <v>285</v>
      </c>
      <c r="S3" s="632" t="s">
        <v>95</v>
      </c>
    </row>
    <row r="4" spans="12:19" ht="15" customHeight="1">
      <c r="L4" s="630"/>
      <c r="M4" s="635" t="s">
        <v>159</v>
      </c>
      <c r="N4" s="636"/>
      <c r="O4" s="633"/>
      <c r="Q4" s="630"/>
      <c r="R4" s="535" t="s">
        <v>286</v>
      </c>
      <c r="S4" s="633"/>
    </row>
    <row r="5" spans="12:20" ht="15" customHeight="1" thickBot="1">
      <c r="L5" s="631"/>
      <c r="M5" s="260" t="s">
        <v>157</v>
      </c>
      <c r="N5" s="261" t="s">
        <v>158</v>
      </c>
      <c r="O5" s="634"/>
      <c r="Q5" s="631"/>
      <c r="R5" s="536" t="s">
        <v>287</v>
      </c>
      <c r="S5" s="634"/>
      <c r="T5"/>
    </row>
    <row r="6" spans="12:20" ht="15" customHeight="1">
      <c r="L6" s="256">
        <v>1970</v>
      </c>
      <c r="M6" s="209">
        <v>42.9</v>
      </c>
      <c r="N6" s="226"/>
      <c r="O6" s="227"/>
      <c r="Q6" s="256">
        <v>2013</v>
      </c>
      <c r="R6" s="530">
        <v>100</v>
      </c>
      <c r="S6" s="534">
        <v>0</v>
      </c>
      <c r="T6"/>
    </row>
    <row r="7" spans="12:20" ht="15" customHeight="1">
      <c r="L7" s="257">
        <v>1971</v>
      </c>
      <c r="M7" s="204">
        <v>43.7</v>
      </c>
      <c r="N7" s="228"/>
      <c r="O7" s="205">
        <f>(+M7/M6-1)*100</f>
        <v>1.8648018648018683</v>
      </c>
      <c r="Q7" s="258">
        <v>2014</v>
      </c>
      <c r="R7" s="532">
        <v>102.6</v>
      </c>
      <c r="S7" s="562">
        <v>0</v>
      </c>
      <c r="T7"/>
    </row>
    <row r="8" spans="12:20" ht="15" customHeight="1">
      <c r="L8" s="257">
        <v>1972</v>
      </c>
      <c r="M8" s="204">
        <v>46.1</v>
      </c>
      <c r="N8" s="228"/>
      <c r="O8" s="205">
        <f aca="true" t="shared" si="0" ref="O8:O34">(+M8/M7-1)*100</f>
        <v>5.491990846681927</v>
      </c>
      <c r="Q8" s="257">
        <v>2015</v>
      </c>
      <c r="R8" s="546">
        <v>102.8</v>
      </c>
      <c r="S8" s="547">
        <v>0.2</v>
      </c>
      <c r="T8"/>
    </row>
    <row r="9" spans="12:20" ht="15" customHeight="1">
      <c r="L9" s="257">
        <v>1973</v>
      </c>
      <c r="M9" s="204">
        <v>49.2</v>
      </c>
      <c r="N9" s="228"/>
      <c r="O9" s="205">
        <f t="shared" si="0"/>
        <v>6.724511930585697</v>
      </c>
      <c r="Q9" s="257">
        <v>2016</v>
      </c>
      <c r="R9" s="546">
        <v>103.5</v>
      </c>
      <c r="S9" s="547">
        <v>0.7</v>
      </c>
      <c r="T9"/>
    </row>
    <row r="10" spans="12:20" ht="15" customHeight="1">
      <c r="L10" s="257">
        <v>1974</v>
      </c>
      <c r="M10" s="204">
        <v>57.6</v>
      </c>
      <c r="N10" s="228"/>
      <c r="O10" s="205">
        <f t="shared" si="0"/>
        <v>17.07317073170731</v>
      </c>
      <c r="Q10" s="258">
        <v>2017</v>
      </c>
      <c r="R10" s="560">
        <v>104.4</v>
      </c>
      <c r="S10" s="561">
        <v>0.9</v>
      </c>
      <c r="T10"/>
    </row>
    <row r="11" spans="12:20" ht="15" customHeight="1">
      <c r="L11" s="257">
        <v>1975</v>
      </c>
      <c r="M11" s="204">
        <v>60.7</v>
      </c>
      <c r="N11" s="228"/>
      <c r="O11" s="205">
        <f>(+M11/M10-1)*100</f>
        <v>5.381944444444442</v>
      </c>
      <c r="Q11" s="258">
        <v>2018</v>
      </c>
      <c r="R11" s="560">
        <v>105.2</v>
      </c>
      <c r="S11" s="561">
        <v>0.8</v>
      </c>
      <c r="T11"/>
    </row>
    <row r="12" spans="12:20" ht="15" customHeight="1">
      <c r="L12" s="257">
        <v>1976</v>
      </c>
      <c r="M12" s="204">
        <v>63.1</v>
      </c>
      <c r="N12" s="228"/>
      <c r="O12" s="205">
        <f>(+M12/M11-1)*100</f>
        <v>3.953871499176276</v>
      </c>
      <c r="Q12" s="258">
        <v>2019</v>
      </c>
      <c r="R12" s="560">
        <v>104.9</v>
      </c>
      <c r="S12" s="561">
        <v>-0.3</v>
      </c>
      <c r="T12"/>
    </row>
    <row r="13" spans="12:20" ht="15" customHeight="1">
      <c r="L13" s="257">
        <v>1977</v>
      </c>
      <c r="M13" s="204">
        <v>66</v>
      </c>
      <c r="N13" s="228"/>
      <c r="O13" s="205">
        <f t="shared" si="0"/>
        <v>4.5958795562599075</v>
      </c>
      <c r="Q13" s="258">
        <v>2020</v>
      </c>
      <c r="R13" s="560">
        <v>103.2</v>
      </c>
      <c r="S13" s="561">
        <v>-1.7</v>
      </c>
      <c r="T13"/>
    </row>
    <row r="14" spans="12:25" ht="15" customHeight="1" thickBot="1">
      <c r="L14" s="257">
        <v>1978</v>
      </c>
      <c r="M14" s="204">
        <v>68.8</v>
      </c>
      <c r="N14" s="228"/>
      <c r="O14" s="205">
        <f t="shared" si="0"/>
        <v>4.2424242424242475</v>
      </c>
      <c r="Q14" s="259">
        <v>2021</v>
      </c>
      <c r="R14" s="531">
        <v>104.9</v>
      </c>
      <c r="S14" s="537">
        <v>1.7</v>
      </c>
      <c r="T14"/>
      <c r="U14"/>
      <c r="V14"/>
      <c r="W14"/>
      <c r="X14"/>
      <c r="Y14"/>
    </row>
    <row r="15" spans="12:25" ht="15" customHeight="1">
      <c r="L15" s="257">
        <v>1979</v>
      </c>
      <c r="M15" s="204">
        <v>74.3</v>
      </c>
      <c r="N15" s="228"/>
      <c r="O15" s="205">
        <f t="shared" si="0"/>
        <v>7.994186046511631</v>
      </c>
      <c r="Q15" t="s">
        <v>284</v>
      </c>
      <c r="R15"/>
      <c r="S15"/>
      <c r="T15"/>
      <c r="U15"/>
      <c r="V15"/>
      <c r="W15"/>
      <c r="X15"/>
      <c r="Y15"/>
    </row>
    <row r="16" spans="12:25" ht="15" customHeight="1">
      <c r="L16" s="257">
        <v>1980</v>
      </c>
      <c r="M16" s="204">
        <v>84.5</v>
      </c>
      <c r="N16" s="228"/>
      <c r="O16" s="205">
        <f t="shared" si="0"/>
        <v>13.728129205921945</v>
      </c>
      <c r="Q16" s="628"/>
      <c r="R16" s="628"/>
      <c r="S16" s="628"/>
      <c r="T16" s="628"/>
      <c r="U16" s="628"/>
      <c r="V16" s="628"/>
      <c r="W16" s="628"/>
      <c r="X16" s="628"/>
      <c r="Y16" s="628"/>
    </row>
    <row r="17" spans="12:27" ht="15" customHeight="1">
      <c r="L17" s="257">
        <v>1981</v>
      </c>
      <c r="M17" s="204">
        <v>90.7</v>
      </c>
      <c r="N17" s="228"/>
      <c r="O17" s="205">
        <f t="shared" si="0"/>
        <v>7.337278106508882</v>
      </c>
      <c r="Q17" s="639" t="s">
        <v>19</v>
      </c>
      <c r="R17" s="639"/>
      <c r="S17" s="639"/>
      <c r="T17" s="639"/>
      <c r="U17" s="639"/>
      <c r="V17" s="639"/>
      <c r="W17" s="639"/>
      <c r="X17" s="639"/>
      <c r="Y17" s="639"/>
      <c r="Z17"/>
      <c r="AA17"/>
    </row>
    <row r="18" spans="12:28" ht="15" customHeight="1">
      <c r="L18" s="257">
        <v>1982</v>
      </c>
      <c r="M18" s="204">
        <v>94.5</v>
      </c>
      <c r="N18" s="228"/>
      <c r="O18" s="205">
        <f t="shared" si="0"/>
        <v>4.189636163175292</v>
      </c>
      <c r="Q18" s="639" t="s">
        <v>155</v>
      </c>
      <c r="R18" s="639"/>
      <c r="S18" s="639"/>
      <c r="T18" s="639"/>
      <c r="U18" s="639"/>
      <c r="V18" s="639"/>
      <c r="W18" s="639"/>
      <c r="X18" s="639"/>
      <c r="Y18" s="639"/>
      <c r="Z18"/>
      <c r="AA18"/>
      <c r="AB18"/>
    </row>
    <row r="19" spans="12:28" ht="15" customHeight="1">
      <c r="L19" s="257">
        <v>1983</v>
      </c>
      <c r="M19" s="204">
        <v>96.5</v>
      </c>
      <c r="N19" s="228"/>
      <c r="O19" s="205">
        <f t="shared" si="0"/>
        <v>2.1164021164021163</v>
      </c>
      <c r="Q19" s="639" t="s">
        <v>351</v>
      </c>
      <c r="R19" s="639"/>
      <c r="S19" s="639"/>
      <c r="T19" s="639"/>
      <c r="U19" s="639"/>
      <c r="V19" s="639"/>
      <c r="W19" s="639"/>
      <c r="X19" s="639"/>
      <c r="Y19" s="639"/>
      <c r="Z19"/>
      <c r="AA19"/>
      <c r="AB19"/>
    </row>
    <row r="20" spans="12:20" ht="15" customHeight="1">
      <c r="L20" s="257">
        <v>1984</v>
      </c>
      <c r="M20" s="204">
        <v>98.1</v>
      </c>
      <c r="N20" s="228"/>
      <c r="O20" s="205">
        <f t="shared" si="0"/>
        <v>1.6580310880828897</v>
      </c>
      <c r="S20"/>
      <c r="T20"/>
    </row>
    <row r="21" spans="12:20" ht="15" customHeight="1">
      <c r="L21" s="257">
        <v>1985</v>
      </c>
      <c r="M21" s="204">
        <v>99.1</v>
      </c>
      <c r="N21" s="228"/>
      <c r="O21" s="205">
        <f t="shared" si="0"/>
        <v>1.0193679918450549</v>
      </c>
      <c r="S21"/>
      <c r="T21"/>
    </row>
    <row r="22" spans="12:20" ht="15" customHeight="1">
      <c r="L22" s="257">
        <v>1986</v>
      </c>
      <c r="M22" s="204">
        <v>99</v>
      </c>
      <c r="N22" s="228"/>
      <c r="O22" s="205">
        <f t="shared" si="0"/>
        <v>-0.10090817356205317</v>
      </c>
      <c r="S22"/>
      <c r="T22"/>
    </row>
    <row r="23" spans="12:20" ht="15" customHeight="1">
      <c r="L23" s="257">
        <v>1987</v>
      </c>
      <c r="M23" s="204">
        <v>100</v>
      </c>
      <c r="N23" s="228"/>
      <c r="O23" s="205">
        <f t="shared" si="0"/>
        <v>1.0101010101010166</v>
      </c>
      <c r="S23"/>
      <c r="T23"/>
    </row>
    <row r="24" spans="12:20" ht="15" customHeight="1">
      <c r="L24" s="257">
        <v>1988</v>
      </c>
      <c r="M24" s="204">
        <v>100.6</v>
      </c>
      <c r="N24" s="228"/>
      <c r="O24" s="205">
        <f t="shared" si="0"/>
        <v>0.6000000000000005</v>
      </c>
      <c r="S24"/>
      <c r="T24"/>
    </row>
    <row r="25" spans="12:20" ht="15" customHeight="1">
      <c r="L25" s="257">
        <v>1989</v>
      </c>
      <c r="M25" s="204">
        <v>100.7</v>
      </c>
      <c r="N25" s="228"/>
      <c r="O25" s="205">
        <f t="shared" si="0"/>
        <v>0.09940357852884496</v>
      </c>
      <c r="S25"/>
      <c r="T25"/>
    </row>
    <row r="26" spans="2:20" ht="15" customHeight="1">
      <c r="B26" s="622" t="s">
        <v>19</v>
      </c>
      <c r="C26" s="622"/>
      <c r="D26" s="622"/>
      <c r="E26" s="622"/>
      <c r="F26" s="622"/>
      <c r="G26" s="622"/>
      <c r="H26" s="622"/>
      <c r="I26" s="622"/>
      <c r="J26" s="4"/>
      <c r="L26" s="257">
        <v>1990</v>
      </c>
      <c r="M26" s="204">
        <v>101.5</v>
      </c>
      <c r="N26" s="228"/>
      <c r="O26" s="205">
        <f t="shared" si="0"/>
        <v>0.7944389275074348</v>
      </c>
      <c r="S26"/>
      <c r="T26"/>
    </row>
    <row r="27" spans="2:20" ht="15" customHeight="1">
      <c r="B27" s="623" t="s">
        <v>45</v>
      </c>
      <c r="C27" s="623"/>
      <c r="D27" s="623"/>
      <c r="E27" s="623"/>
      <c r="F27" s="623"/>
      <c r="G27" s="623"/>
      <c r="H27" s="623"/>
      <c r="I27" s="623"/>
      <c r="J27" s="6"/>
      <c r="L27" s="257">
        <v>1991</v>
      </c>
      <c r="M27" s="204">
        <v>102.8</v>
      </c>
      <c r="N27" s="228"/>
      <c r="O27" s="205">
        <f t="shared" si="0"/>
        <v>1.2807881773398977</v>
      </c>
      <c r="S27"/>
      <c r="T27"/>
    </row>
    <row r="28" spans="2:20" ht="15" customHeight="1">
      <c r="B28" s="623" t="s">
        <v>156</v>
      </c>
      <c r="C28" s="623"/>
      <c r="D28" s="623"/>
      <c r="E28" s="623"/>
      <c r="F28" s="623"/>
      <c r="G28" s="623"/>
      <c r="H28" s="623"/>
      <c r="I28" s="623"/>
      <c r="J28" s="6"/>
      <c r="L28" s="257">
        <v>1992</v>
      </c>
      <c r="M28" s="204">
        <v>104.6</v>
      </c>
      <c r="N28" s="228"/>
      <c r="O28" s="205">
        <f t="shared" si="0"/>
        <v>1.7509727626459082</v>
      </c>
      <c r="S28"/>
      <c r="T28"/>
    </row>
    <row r="29" spans="12:20" ht="15" customHeight="1">
      <c r="L29" s="257">
        <v>1993</v>
      </c>
      <c r="M29" s="204">
        <v>105.1</v>
      </c>
      <c r="N29" s="228"/>
      <c r="O29" s="205">
        <f t="shared" si="0"/>
        <v>0.47801147227533036</v>
      </c>
      <c r="S29"/>
      <c r="T29"/>
    </row>
    <row r="30" spans="12:20" ht="15" customHeight="1">
      <c r="L30" s="257">
        <v>1994</v>
      </c>
      <c r="M30" s="204">
        <v>106.5</v>
      </c>
      <c r="N30" s="228"/>
      <c r="O30" s="205">
        <f t="shared" si="0"/>
        <v>1.3320647002854402</v>
      </c>
      <c r="S30"/>
      <c r="T30"/>
    </row>
    <row r="31" spans="12:20" ht="15" customHeight="1">
      <c r="L31" s="257">
        <v>1995</v>
      </c>
      <c r="M31" s="204">
        <v>107.5</v>
      </c>
      <c r="N31" s="228"/>
      <c r="O31" s="205">
        <f t="shared" si="0"/>
        <v>0.9389671361502261</v>
      </c>
      <c r="S31"/>
      <c r="T31"/>
    </row>
    <row r="32" spans="12:20" ht="15" customHeight="1">
      <c r="L32" s="257">
        <v>1996</v>
      </c>
      <c r="M32" s="204">
        <v>108.9</v>
      </c>
      <c r="N32" s="228"/>
      <c r="O32" s="205">
        <f t="shared" si="0"/>
        <v>1.3023255813953583</v>
      </c>
      <c r="S32"/>
      <c r="T32"/>
    </row>
    <row r="33" spans="12:20" ht="15" customHeight="1">
      <c r="L33" s="257">
        <v>1997</v>
      </c>
      <c r="M33" s="204">
        <v>110.2</v>
      </c>
      <c r="N33" s="228"/>
      <c r="O33" s="205">
        <f t="shared" si="0"/>
        <v>1.1937557392102782</v>
      </c>
      <c r="S33"/>
      <c r="T33"/>
    </row>
    <row r="34" spans="12:20" ht="15" customHeight="1">
      <c r="L34" s="257">
        <v>1998</v>
      </c>
      <c r="M34" s="204">
        <v>110.9</v>
      </c>
      <c r="N34" s="228"/>
      <c r="O34" s="205">
        <f t="shared" si="0"/>
        <v>0.6352087114337657</v>
      </c>
      <c r="S34"/>
      <c r="T34"/>
    </row>
    <row r="35" spans="12:15" ht="15" customHeight="1">
      <c r="L35" s="257">
        <v>1999</v>
      </c>
      <c r="M35" s="204">
        <v>112.4</v>
      </c>
      <c r="N35" s="228"/>
      <c r="O35" s="205">
        <f>(+M35/M34-1)*100</f>
        <v>1.352569882777277</v>
      </c>
    </row>
    <row r="36" spans="12:15" ht="15" customHeight="1">
      <c r="L36" s="258">
        <v>2000</v>
      </c>
      <c r="M36" s="206">
        <v>114</v>
      </c>
      <c r="N36" s="229"/>
      <c r="O36" s="230">
        <f>(+M36/M35-1)*100</f>
        <v>1.4234875444839812</v>
      </c>
    </row>
    <row r="37" spans="12:15" ht="15" customHeight="1">
      <c r="L37" s="258">
        <v>2001</v>
      </c>
      <c r="M37" s="206">
        <v>114.3</v>
      </c>
      <c r="N37" s="229"/>
      <c r="O37" s="230">
        <f>(+M37/M36-1)*100</f>
        <v>0.2631578947368318</v>
      </c>
    </row>
    <row r="38" spans="12:15" ht="15" customHeight="1">
      <c r="L38" s="258">
        <v>2002</v>
      </c>
      <c r="M38" s="207">
        <v>115.5</v>
      </c>
      <c r="N38" s="231"/>
      <c r="O38" s="205">
        <f>(+M38/M37-1)*100</f>
        <v>1.049868766404205</v>
      </c>
    </row>
    <row r="39" spans="12:15" ht="15" customHeight="1">
      <c r="L39" s="258">
        <v>2003</v>
      </c>
      <c r="M39" s="207">
        <v>117.1</v>
      </c>
      <c r="N39" s="240">
        <v>100.1</v>
      </c>
      <c r="O39" s="241">
        <f>(+M39/M38-1)*100</f>
        <v>1.3852813852813783</v>
      </c>
    </row>
    <row r="40" spans="12:15" ht="15" customHeight="1">
      <c r="L40" s="258">
        <v>2004</v>
      </c>
      <c r="M40" s="225"/>
      <c r="N40" s="242">
        <v>100.5</v>
      </c>
      <c r="O40" s="243">
        <f aca="true" t="shared" si="1" ref="O40:O45">(+N40/N39-1)*100</f>
        <v>0.3996003996004083</v>
      </c>
    </row>
    <row r="41" spans="12:15" ht="15" customHeight="1">
      <c r="L41" s="257">
        <v>2005</v>
      </c>
      <c r="M41" s="234"/>
      <c r="N41" s="240">
        <v>103.8</v>
      </c>
      <c r="O41" s="241">
        <f t="shared" si="1"/>
        <v>3.2835820895522394</v>
      </c>
    </row>
    <row r="42" spans="12:15" ht="15" customHeight="1">
      <c r="L42" s="257">
        <v>2006</v>
      </c>
      <c r="M42" s="234"/>
      <c r="N42" s="240">
        <v>106.2</v>
      </c>
      <c r="O42" s="241">
        <f t="shared" si="1"/>
        <v>2.3121387283236983</v>
      </c>
    </row>
    <row r="43" spans="12:15" ht="15" customHeight="1">
      <c r="L43" s="257">
        <v>2007</v>
      </c>
      <c r="M43" s="234"/>
      <c r="N43" s="240">
        <v>110.7</v>
      </c>
      <c r="O43" s="241">
        <f t="shared" si="1"/>
        <v>4.237288135593231</v>
      </c>
    </row>
    <row r="44" spans="12:15" ht="15" customHeight="1">
      <c r="L44" s="257">
        <v>2008</v>
      </c>
      <c r="M44" s="234"/>
      <c r="N44" s="240">
        <v>120</v>
      </c>
      <c r="O44" s="241">
        <f t="shared" si="1"/>
        <v>8.401084010840098</v>
      </c>
    </row>
    <row r="45" spans="12:15" ht="15" customHeight="1">
      <c r="L45" s="257">
        <v>2009</v>
      </c>
      <c r="M45" s="234"/>
      <c r="N45" s="240">
        <v>122.9</v>
      </c>
      <c r="O45" s="241">
        <f t="shared" si="1"/>
        <v>2.416666666666667</v>
      </c>
    </row>
    <row r="46" spans="12:15" ht="15" customHeight="1">
      <c r="L46" s="257">
        <v>2010</v>
      </c>
      <c r="M46" s="234"/>
      <c r="N46" s="240">
        <v>127.2</v>
      </c>
      <c r="O46" s="241">
        <f>(+N46/N45-1)*100</f>
        <v>3.4987794955248175</v>
      </c>
    </row>
    <row r="47" spans="12:15" ht="15" customHeight="1">
      <c r="L47" s="257">
        <v>2011</v>
      </c>
      <c r="M47" s="234"/>
      <c r="N47" s="240">
        <v>134.7</v>
      </c>
      <c r="O47" s="241">
        <f>(+N47/N46-1)*100</f>
        <v>5.89622641509433</v>
      </c>
    </row>
    <row r="48" spans="12:15" ht="15" customHeight="1">
      <c r="L48" s="258">
        <v>2012</v>
      </c>
      <c r="M48" s="396"/>
      <c r="N48" s="242">
        <v>142.4</v>
      </c>
      <c r="O48" s="243">
        <f>(+N48/N47-1)*100</f>
        <v>5.716406829992593</v>
      </c>
    </row>
    <row r="49" spans="12:15" ht="15" customHeight="1" thickBot="1">
      <c r="L49" s="259">
        <v>2013</v>
      </c>
      <c r="M49" s="208"/>
      <c r="N49" s="244">
        <v>148.1</v>
      </c>
      <c r="O49" s="245">
        <f>(+N49/N48-1)*100</f>
        <v>4.0028089887640395</v>
      </c>
    </row>
  </sheetData>
  <sheetProtection/>
  <mergeCells count="16">
    <mergeCell ref="B28:I28"/>
    <mergeCell ref="M3:N3"/>
    <mergeCell ref="L3:L5"/>
    <mergeCell ref="B26:I26"/>
    <mergeCell ref="Q17:Y17"/>
    <mergeCell ref="Q18:Y18"/>
    <mergeCell ref="Q19:Y19"/>
    <mergeCell ref="Q16:Y16"/>
    <mergeCell ref="B1:J1"/>
    <mergeCell ref="B2:J2"/>
    <mergeCell ref="B3:J3"/>
    <mergeCell ref="B27:I27"/>
    <mergeCell ref="Q3:Q5"/>
    <mergeCell ref="S3:S5"/>
    <mergeCell ref="O3:O5"/>
    <mergeCell ref="M4:N4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B1:U46"/>
  <sheetViews>
    <sheetView zoomScalePageLayoutView="0" workbookViewId="0" topLeftCell="A1">
      <selection activeCell="Q24" sqref="Q24"/>
    </sheetView>
  </sheetViews>
  <sheetFormatPr defaultColWidth="10.7109375" defaultRowHeight="15" customHeight="1"/>
  <cols>
    <col min="1" max="1" width="2.7109375" style="5" customWidth="1"/>
    <col min="2" max="11" width="10.7109375" style="5" customWidth="1"/>
    <col min="12" max="12" width="16.7109375" style="5" customWidth="1"/>
    <col min="13" max="13" width="7.28125" style="5" customWidth="1"/>
    <col min="14" max="14" width="11.421875" style="5" customWidth="1"/>
    <col min="15" max="15" width="8.28125" style="5" customWidth="1"/>
    <col min="16" max="17" width="18.7109375" style="5" customWidth="1"/>
    <col min="18" max="18" width="8.140625" style="5" customWidth="1"/>
    <col min="19" max="19" width="8.421875" style="5" customWidth="1"/>
    <col min="20" max="20" width="12.7109375" style="5" customWidth="1"/>
    <col min="21" max="24" width="7.8515625" style="5" customWidth="1"/>
    <col min="25" max="25" width="8.140625" style="5" customWidth="1"/>
    <col min="26" max="26" width="8.28125" style="5" customWidth="1"/>
    <col min="27" max="27" width="8.7109375" style="5" customWidth="1"/>
    <col min="28" max="28" width="9.28125" style="5" customWidth="1"/>
    <col min="29" max="16384" width="10.7109375" style="5" customWidth="1"/>
  </cols>
  <sheetData>
    <row r="1" spans="2:12" ht="15" customHeight="1">
      <c r="B1" s="623" t="s">
        <v>20</v>
      </c>
      <c r="C1" s="623"/>
      <c r="D1" s="623"/>
      <c r="E1" s="623"/>
      <c r="F1" s="623"/>
      <c r="G1" s="623"/>
      <c r="H1" s="623"/>
      <c r="I1" s="623"/>
      <c r="J1" s="623"/>
      <c r="K1" s="623"/>
      <c r="L1" s="623"/>
    </row>
    <row r="2" spans="2:14" s="6" customFormat="1" ht="15" customHeight="1">
      <c r="B2" s="640" t="s">
        <v>42</v>
      </c>
      <c r="C2" s="640"/>
      <c r="D2" s="640"/>
      <c r="E2" s="640"/>
      <c r="F2" s="640"/>
      <c r="G2" s="640"/>
      <c r="H2" s="640"/>
      <c r="I2" s="640"/>
      <c r="J2" s="640"/>
      <c r="K2" s="640"/>
      <c r="L2" s="640"/>
      <c r="M2"/>
      <c r="N2"/>
    </row>
    <row r="3" spans="2:14" ht="15" customHeight="1" thickBot="1">
      <c r="B3" s="641" t="s">
        <v>346</v>
      </c>
      <c r="C3" s="640"/>
      <c r="D3" s="640"/>
      <c r="E3" s="640"/>
      <c r="F3" s="640"/>
      <c r="G3" s="640"/>
      <c r="H3" s="640"/>
      <c r="I3" s="640"/>
      <c r="J3" s="640"/>
      <c r="K3" s="640"/>
      <c r="L3" s="640"/>
      <c r="M3"/>
      <c r="N3"/>
    </row>
    <row r="4" spans="13:21" ht="15" customHeight="1" thickBot="1">
      <c r="M4"/>
      <c r="N4"/>
      <c r="O4" s="268" t="s">
        <v>50</v>
      </c>
      <c r="P4" s="269" t="s">
        <v>86</v>
      </c>
      <c r="Q4" s="270" t="s">
        <v>87</v>
      </c>
      <c r="S4"/>
      <c r="T4"/>
      <c r="U4"/>
    </row>
    <row r="5" spans="15:21" ht="15" customHeight="1">
      <c r="O5" s="257">
        <v>2007</v>
      </c>
      <c r="P5" s="397">
        <v>5298</v>
      </c>
      <c r="Q5" s="513">
        <v>20958</v>
      </c>
      <c r="S5"/>
      <c r="T5"/>
      <c r="U5"/>
    </row>
    <row r="6" spans="13:21" ht="15" customHeight="1">
      <c r="M6" s="6"/>
      <c r="N6" s="6"/>
      <c r="O6" s="257">
        <v>2008</v>
      </c>
      <c r="P6" s="397">
        <v>5462.1</v>
      </c>
      <c r="Q6" s="514">
        <v>24522.2</v>
      </c>
      <c r="S6"/>
      <c r="T6"/>
      <c r="U6"/>
    </row>
    <row r="7" spans="13:21" ht="15" customHeight="1">
      <c r="M7" s="123"/>
      <c r="N7" s="123"/>
      <c r="O7" s="257">
        <v>2009</v>
      </c>
      <c r="P7" s="397">
        <v>5738</v>
      </c>
      <c r="Q7" s="515">
        <v>26593.5</v>
      </c>
      <c r="S7"/>
      <c r="T7"/>
      <c r="U7"/>
    </row>
    <row r="8" spans="13:21" ht="15" customHeight="1">
      <c r="M8" s="123"/>
      <c r="N8" s="123"/>
      <c r="O8" s="258">
        <v>2010</v>
      </c>
      <c r="P8" s="398">
        <v>6232.5</v>
      </c>
      <c r="Q8" s="516">
        <v>28917.2</v>
      </c>
      <c r="S8"/>
      <c r="T8"/>
      <c r="U8"/>
    </row>
    <row r="9" spans="15:21" ht="15" customHeight="1">
      <c r="O9" s="257">
        <v>2011</v>
      </c>
      <c r="P9" s="397">
        <v>6599.8</v>
      </c>
      <c r="Q9" s="514">
        <v>34373.8</v>
      </c>
      <c r="S9"/>
      <c r="T9"/>
      <c r="U9"/>
    </row>
    <row r="10" spans="15:21" ht="15" customHeight="1">
      <c r="O10" s="258">
        <v>2012</v>
      </c>
      <c r="P10" s="398">
        <v>7170.3</v>
      </c>
      <c r="Q10" s="515">
        <v>39954.8</v>
      </c>
      <c r="S10"/>
      <c r="T10"/>
      <c r="U10"/>
    </row>
    <row r="11" spans="15:21" ht="15" customHeight="1">
      <c r="O11" s="258">
        <v>2013</v>
      </c>
      <c r="P11" s="398">
        <v>7501.7</v>
      </c>
      <c r="Q11" s="515">
        <v>45600</v>
      </c>
      <c r="S11"/>
      <c r="T11"/>
      <c r="U11"/>
    </row>
    <row r="12" spans="15:21" ht="15" customHeight="1">
      <c r="O12" s="257">
        <v>2014</v>
      </c>
      <c r="P12" s="397">
        <v>7822.5</v>
      </c>
      <c r="Q12" s="515">
        <v>49921.5</v>
      </c>
      <c r="S12"/>
      <c r="T12"/>
      <c r="U12"/>
    </row>
    <row r="13" spans="15:21" ht="15" customHeight="1">
      <c r="O13" s="257">
        <v>2015</v>
      </c>
      <c r="P13" s="397">
        <v>8368.6</v>
      </c>
      <c r="Q13" s="514">
        <v>54091.71377556336</v>
      </c>
      <c r="S13" s="507"/>
      <c r="T13"/>
      <c r="U13"/>
    </row>
    <row r="14" spans="15:19" ht="15" customHeight="1">
      <c r="O14" s="257">
        <v>2016</v>
      </c>
      <c r="P14" s="397">
        <v>8588.5</v>
      </c>
      <c r="Q14" s="514">
        <v>57907.69540893921</v>
      </c>
      <c r="S14" s="507"/>
    </row>
    <row r="15" spans="15:19" ht="15" customHeight="1">
      <c r="O15" s="257">
        <v>2017</v>
      </c>
      <c r="P15" s="397">
        <v>8897</v>
      </c>
      <c r="Q15" s="514">
        <v>62202.80883763293</v>
      </c>
      <c r="S15"/>
    </row>
    <row r="16" spans="15:19" ht="15" customHeight="1">
      <c r="O16" s="258">
        <v>2018</v>
      </c>
      <c r="P16" s="398">
        <v>9098.9</v>
      </c>
      <c r="Q16" s="515">
        <v>64929.4</v>
      </c>
      <c r="S16"/>
    </row>
    <row r="17" spans="15:19" ht="15" customHeight="1">
      <c r="O17" s="258">
        <v>2019</v>
      </c>
      <c r="P17" s="398">
        <v>9624</v>
      </c>
      <c r="Q17" s="515">
        <v>66984.4</v>
      </c>
      <c r="S17"/>
    </row>
    <row r="18" spans="15:19" ht="15" customHeight="1">
      <c r="O18" s="258">
        <v>2020</v>
      </c>
      <c r="P18" s="398">
        <v>8926.7</v>
      </c>
      <c r="Q18" s="515">
        <v>53977</v>
      </c>
      <c r="S18"/>
    </row>
    <row r="19" spans="15:19" ht="15" customHeight="1" thickBot="1">
      <c r="O19" s="259">
        <v>2021</v>
      </c>
      <c r="P19" s="399">
        <v>9689</v>
      </c>
      <c r="Q19" s="517">
        <v>63605.1</v>
      </c>
      <c r="S19"/>
    </row>
    <row r="20" spans="17:19" ht="15" customHeight="1">
      <c r="Q20" s="223"/>
      <c r="S20"/>
    </row>
    <row r="21" spans="15:19" ht="15" customHeight="1">
      <c r="O21" t="s">
        <v>208</v>
      </c>
      <c r="P21"/>
      <c r="Q21"/>
      <c r="S21"/>
    </row>
    <row r="22" spans="15:17" ht="15" customHeight="1">
      <c r="O22" t="s">
        <v>209</v>
      </c>
      <c r="P22"/>
      <c r="Q22"/>
    </row>
    <row r="23" spans="15:16" ht="15" customHeight="1">
      <c r="O23" t="s">
        <v>210</v>
      </c>
      <c r="P23"/>
    </row>
    <row r="28" spans="2:12" ht="15" customHeight="1" thickBot="1">
      <c r="B28" s="623" t="s">
        <v>20</v>
      </c>
      <c r="C28" s="623"/>
      <c r="D28" s="623"/>
      <c r="E28" s="623"/>
      <c r="F28" s="623"/>
      <c r="G28" s="623"/>
      <c r="H28" s="623"/>
      <c r="I28" s="623"/>
      <c r="J28" s="623"/>
      <c r="K28" s="623"/>
      <c r="L28" s="623"/>
    </row>
    <row r="29" spans="2:17" ht="15" customHeight="1" thickBot="1">
      <c r="B29" s="640" t="s">
        <v>42</v>
      </c>
      <c r="C29" s="640"/>
      <c r="D29" s="640"/>
      <c r="E29" s="640"/>
      <c r="F29" s="640"/>
      <c r="G29" s="640"/>
      <c r="H29" s="640"/>
      <c r="I29" s="640"/>
      <c r="J29" s="640"/>
      <c r="K29" s="640"/>
      <c r="L29" s="640"/>
      <c r="M29"/>
      <c r="N29"/>
      <c r="O29" s="268" t="s">
        <v>50</v>
      </c>
      <c r="P29" s="269" t="s">
        <v>86</v>
      </c>
      <c r="Q29" s="270" t="s">
        <v>87</v>
      </c>
    </row>
    <row r="30" spans="2:17" ht="15" customHeight="1">
      <c r="B30" s="640" t="s">
        <v>189</v>
      </c>
      <c r="C30" s="640"/>
      <c r="D30" s="640"/>
      <c r="E30" s="640"/>
      <c r="F30" s="640"/>
      <c r="G30" s="640"/>
      <c r="H30" s="640"/>
      <c r="I30" s="640"/>
      <c r="J30" s="640"/>
      <c r="K30" s="640"/>
      <c r="L30" s="640"/>
      <c r="M30"/>
      <c r="N30"/>
      <c r="O30" s="271">
        <v>1996</v>
      </c>
      <c r="P30" s="262">
        <v>2984</v>
      </c>
      <c r="Q30" s="263">
        <v>9322.1</v>
      </c>
    </row>
    <row r="31" spans="13:17" ht="15" customHeight="1">
      <c r="M31"/>
      <c r="N31"/>
      <c r="O31" s="257">
        <v>1997</v>
      </c>
      <c r="P31" s="264">
        <v>3302.1</v>
      </c>
      <c r="Q31" s="265">
        <v>9916.8</v>
      </c>
    </row>
    <row r="32" spans="15:17" ht="15" customHeight="1">
      <c r="O32" s="257">
        <v>1998</v>
      </c>
      <c r="P32" s="264">
        <v>3392.3</v>
      </c>
      <c r="Q32" s="265">
        <v>10648.8</v>
      </c>
    </row>
    <row r="33" spans="13:17" ht="15" customHeight="1">
      <c r="M33" s="6"/>
      <c r="N33" s="6"/>
      <c r="O33" s="257">
        <v>1999</v>
      </c>
      <c r="P33" s="264">
        <v>3578</v>
      </c>
      <c r="Q33" s="265">
        <v>11071.5</v>
      </c>
    </row>
    <row r="34" spans="13:17" ht="15" customHeight="1">
      <c r="M34" s="123"/>
      <c r="N34" s="123"/>
      <c r="O34" s="257">
        <v>2000</v>
      </c>
      <c r="P34" s="264">
        <v>3801.1</v>
      </c>
      <c r="Q34" s="265">
        <v>11370.9</v>
      </c>
    </row>
    <row r="35" spans="13:17" ht="15" customHeight="1">
      <c r="M35" s="123"/>
      <c r="N35" s="123"/>
      <c r="O35" s="257">
        <v>2001</v>
      </c>
      <c r="P35" s="264">
        <v>3933.9</v>
      </c>
      <c r="Q35" s="265">
        <v>11436.2</v>
      </c>
    </row>
    <row r="36" spans="15:17" ht="15" customHeight="1">
      <c r="O36" s="257">
        <v>2002</v>
      </c>
      <c r="P36" s="264">
        <v>4113</v>
      </c>
      <c r="Q36" s="265">
        <v>11691.1</v>
      </c>
    </row>
    <row r="37" spans="15:17" ht="15" customHeight="1">
      <c r="O37" s="257">
        <v>2003</v>
      </c>
      <c r="P37" s="264">
        <v>4306.9</v>
      </c>
      <c r="Q37" s="265">
        <v>12182.8</v>
      </c>
    </row>
    <row r="38" spans="15:17" ht="15" customHeight="1">
      <c r="O38" s="257">
        <v>2004</v>
      </c>
      <c r="P38" s="264">
        <v>4595.2</v>
      </c>
      <c r="Q38" s="265">
        <v>13099.2</v>
      </c>
    </row>
    <row r="39" spans="15:17" ht="15" customHeight="1">
      <c r="O39" s="257">
        <v>2005</v>
      </c>
      <c r="P39" s="264">
        <v>4780.8</v>
      </c>
      <c r="Q39" s="265">
        <v>14041.2</v>
      </c>
    </row>
    <row r="40" spans="15:17" ht="15" customHeight="1">
      <c r="O40" s="257">
        <v>2006</v>
      </c>
      <c r="P40" s="264">
        <v>4934</v>
      </c>
      <c r="Q40" s="265">
        <v>15238.6</v>
      </c>
    </row>
    <row r="41" spans="15:17" ht="15" customHeight="1">
      <c r="O41" s="257">
        <v>2007</v>
      </c>
      <c r="P41" s="264">
        <v>5298</v>
      </c>
      <c r="Q41" s="265">
        <v>17084.4</v>
      </c>
    </row>
    <row r="42" spans="15:17" ht="15" customHeight="1">
      <c r="O42" s="257">
        <v>2008</v>
      </c>
      <c r="P42" s="264">
        <v>5462.1</v>
      </c>
      <c r="Q42" s="265">
        <v>18812.9</v>
      </c>
    </row>
    <row r="43" spans="15:17" ht="15" customHeight="1">
      <c r="O43" s="257">
        <v>2009</v>
      </c>
      <c r="P43" s="264">
        <v>5738</v>
      </c>
      <c r="Q43" s="265">
        <v>19538.4</v>
      </c>
    </row>
    <row r="44" spans="15:17" ht="15" customHeight="1">
      <c r="O44" s="258">
        <v>2010</v>
      </c>
      <c r="P44" s="369">
        <v>6232.5</v>
      </c>
      <c r="Q44" s="370">
        <v>20994.4</v>
      </c>
    </row>
    <row r="45" spans="15:17" ht="15" customHeight="1">
      <c r="O45" s="257">
        <v>2011</v>
      </c>
      <c r="P45" s="264">
        <v>6599.8</v>
      </c>
      <c r="Q45" s="265">
        <v>23272.1</v>
      </c>
    </row>
    <row r="46" spans="15:17" ht="15" customHeight="1" thickBot="1">
      <c r="O46" s="259">
        <v>2012</v>
      </c>
      <c r="P46" s="266">
        <v>7170.3</v>
      </c>
      <c r="Q46" s="267">
        <v>25755.5</v>
      </c>
    </row>
  </sheetData>
  <sheetProtection/>
  <mergeCells count="6">
    <mergeCell ref="B29:L29"/>
    <mergeCell ref="B30:L30"/>
    <mergeCell ref="B1:L1"/>
    <mergeCell ref="B2:L2"/>
    <mergeCell ref="B3:L3"/>
    <mergeCell ref="B28:L28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B1:AC46"/>
  <sheetViews>
    <sheetView zoomScalePageLayoutView="0" workbookViewId="0" topLeftCell="A1">
      <selection activeCell="L15" sqref="L15"/>
    </sheetView>
  </sheetViews>
  <sheetFormatPr defaultColWidth="10.7109375" defaultRowHeight="15" customHeight="1"/>
  <cols>
    <col min="1" max="1" width="2.7109375" style="5" customWidth="1"/>
    <col min="2" max="9" width="10.7109375" style="5" customWidth="1"/>
    <col min="10" max="10" width="2.7109375" style="5" customWidth="1"/>
    <col min="11" max="11" width="14.7109375" style="5" customWidth="1"/>
    <col min="12" max="12" width="18.7109375" style="5" customWidth="1"/>
    <col min="13" max="13" width="8.8515625" style="5" customWidth="1"/>
    <col min="14" max="14" width="9.7109375" style="5" customWidth="1"/>
    <col min="15" max="15" width="8.28125" style="5" customWidth="1"/>
    <col min="16" max="17" width="8.421875" style="5" customWidth="1"/>
    <col min="18" max="18" width="8.140625" style="5" customWidth="1"/>
    <col min="19" max="19" width="8.28125" style="5" customWidth="1"/>
    <col min="20" max="20" width="8.140625" style="5" customWidth="1"/>
    <col min="21" max="22" width="8.28125" style="5" customWidth="1"/>
    <col min="23" max="23" width="7.8515625" style="5" customWidth="1"/>
    <col min="24" max="24" width="8.140625" style="5" customWidth="1"/>
    <col min="25" max="26" width="7.8515625" style="5" customWidth="1"/>
    <col min="27" max="27" width="8.00390625" style="5" customWidth="1"/>
    <col min="28" max="29" width="8.421875" style="5" customWidth="1"/>
    <col min="30" max="16384" width="10.7109375" style="5" customWidth="1"/>
  </cols>
  <sheetData>
    <row r="1" spans="2:9" ht="15" customHeight="1" thickBot="1">
      <c r="B1" s="623" t="s">
        <v>21</v>
      </c>
      <c r="C1" s="623"/>
      <c r="D1" s="623"/>
      <c r="E1" s="623"/>
      <c r="F1" s="623"/>
      <c r="G1" s="623"/>
      <c r="H1" s="623"/>
      <c r="I1" s="623"/>
    </row>
    <row r="2" spans="2:29" s="6" customFormat="1" ht="15" customHeight="1" thickBot="1">
      <c r="B2" s="640" t="s">
        <v>43</v>
      </c>
      <c r="C2" s="640"/>
      <c r="D2" s="640"/>
      <c r="E2" s="640"/>
      <c r="F2" s="640"/>
      <c r="G2" s="640"/>
      <c r="H2" s="640"/>
      <c r="I2" s="640"/>
      <c r="J2" s="124"/>
      <c r="K2" s="124"/>
      <c r="L2" s="275" t="s">
        <v>50</v>
      </c>
      <c r="M2" s="276">
        <v>2007</v>
      </c>
      <c r="N2" s="276">
        <v>2008</v>
      </c>
      <c r="O2" s="276">
        <v>2009</v>
      </c>
      <c r="P2" s="276">
        <v>2010</v>
      </c>
      <c r="Q2" s="276">
        <v>2011</v>
      </c>
      <c r="R2" s="276">
        <v>2012</v>
      </c>
      <c r="S2" s="277">
        <v>2013</v>
      </c>
      <c r="T2" s="276">
        <v>2014</v>
      </c>
      <c r="U2" s="277">
        <v>2015</v>
      </c>
      <c r="V2" s="276">
        <v>2016</v>
      </c>
      <c r="W2" s="276">
        <v>2017</v>
      </c>
      <c r="X2" s="276">
        <v>2018</v>
      </c>
      <c r="Y2" s="277">
        <v>2019</v>
      </c>
      <c r="Z2" s="277">
        <v>2020</v>
      </c>
      <c r="AA2" s="270">
        <v>2020</v>
      </c>
      <c r="AB2"/>
      <c r="AC2"/>
    </row>
    <row r="3" spans="2:29" ht="15" customHeight="1">
      <c r="B3" s="641" t="s">
        <v>346</v>
      </c>
      <c r="C3" s="640"/>
      <c r="D3" s="640"/>
      <c r="E3" s="640"/>
      <c r="F3" s="640"/>
      <c r="G3" s="640"/>
      <c r="H3" s="640"/>
      <c r="I3" s="640"/>
      <c r="J3" s="124"/>
      <c r="K3" s="124"/>
      <c r="L3" s="272" t="s">
        <v>86</v>
      </c>
      <c r="M3" s="55">
        <v>5298</v>
      </c>
      <c r="N3" s="55">
        <v>5462.1</v>
      </c>
      <c r="O3" s="55">
        <v>5738</v>
      </c>
      <c r="P3" s="55">
        <v>6232.5</v>
      </c>
      <c r="Q3" s="55">
        <v>6599.8</v>
      </c>
      <c r="R3" s="142">
        <v>7170.3</v>
      </c>
      <c r="S3" s="55">
        <v>7501.7</v>
      </c>
      <c r="T3" s="55">
        <v>7822.5</v>
      </c>
      <c r="U3" s="142">
        <v>8368.6</v>
      </c>
      <c r="V3" s="55">
        <v>8588.5</v>
      </c>
      <c r="W3" s="55">
        <v>8897</v>
      </c>
      <c r="X3" s="55">
        <v>9098.9</v>
      </c>
      <c r="Y3" s="142">
        <v>9624</v>
      </c>
      <c r="Z3" s="142">
        <v>8926.7</v>
      </c>
      <c r="AA3" s="56">
        <v>9689</v>
      </c>
      <c r="AB3"/>
      <c r="AC3"/>
    </row>
    <row r="4" spans="12:29" ht="15" customHeight="1" thickBot="1">
      <c r="L4" s="273" t="s">
        <v>87</v>
      </c>
      <c r="M4" s="58">
        <v>20958</v>
      </c>
      <c r="N4" s="58">
        <v>24522.2</v>
      </c>
      <c r="O4" s="58">
        <v>26593.5</v>
      </c>
      <c r="P4" s="58">
        <v>28917.2</v>
      </c>
      <c r="Q4" s="58">
        <v>34373.8</v>
      </c>
      <c r="R4" s="235">
        <v>39954.8</v>
      </c>
      <c r="S4" s="58">
        <v>45600</v>
      </c>
      <c r="T4" s="58">
        <v>49921.5</v>
      </c>
      <c r="U4" s="235">
        <v>54091.7</v>
      </c>
      <c r="V4" s="58">
        <v>57907.69540893921</v>
      </c>
      <c r="W4" s="58">
        <v>62202.80883763293</v>
      </c>
      <c r="X4" s="58">
        <v>64929.4</v>
      </c>
      <c r="Y4" s="235">
        <v>66984.4</v>
      </c>
      <c r="Z4" s="235">
        <v>53977</v>
      </c>
      <c r="AA4" s="108">
        <v>63605.1</v>
      </c>
      <c r="AB4"/>
      <c r="AC4"/>
    </row>
    <row r="5" spans="20:29" ht="15" customHeight="1" thickBot="1">
      <c r="T5"/>
      <c r="U5"/>
      <c r="V5"/>
      <c r="W5"/>
      <c r="X5"/>
      <c r="Y5"/>
      <c r="Z5"/>
      <c r="AA5"/>
      <c r="AB5"/>
      <c r="AC5"/>
    </row>
    <row r="6" spans="12:20" ht="15" customHeight="1" thickBot="1">
      <c r="L6" s="268" t="s">
        <v>53</v>
      </c>
      <c r="M6" s="274" t="s">
        <v>213</v>
      </c>
      <c r="N6" s="548" t="s">
        <v>352</v>
      </c>
      <c r="O6"/>
      <c r="P6"/>
      <c r="Q6"/>
      <c r="R6"/>
      <c r="S6" s="6"/>
      <c r="T6" s="6"/>
    </row>
    <row r="7" spans="12:18" ht="15" customHeight="1">
      <c r="L7" s="271" t="s">
        <v>84</v>
      </c>
      <c r="M7" s="400">
        <f>RATE(3,,-M3,P3)</f>
        <v>0.05564228418024297</v>
      </c>
      <c r="N7" s="401">
        <f>RATE(11,,-P3,AA3)</f>
        <v>0.04092561838357427</v>
      </c>
      <c r="O7"/>
      <c r="P7"/>
      <c r="Q7"/>
      <c r="R7"/>
    </row>
    <row r="8" spans="12:18" ht="15" customHeight="1" thickBot="1">
      <c r="L8" s="259" t="s">
        <v>85</v>
      </c>
      <c r="M8" s="60">
        <f>RATE(3,,-M4,P4)</f>
        <v>0.1132741737741126</v>
      </c>
      <c r="N8" s="126">
        <f>RATE(11,,-P4,AA4)</f>
        <v>0.07428973837678139</v>
      </c>
      <c r="O8"/>
      <c r="P8"/>
      <c r="Q8"/>
      <c r="R8"/>
    </row>
    <row r="10" spans="12:13" ht="15" customHeight="1">
      <c r="L10" t="s">
        <v>208</v>
      </c>
      <c r="M10"/>
    </row>
    <row r="11" spans="12:23" ht="15" customHeight="1">
      <c r="L11" t="s">
        <v>209</v>
      </c>
      <c r="M11"/>
      <c r="N11"/>
      <c r="O11"/>
      <c r="P11"/>
      <c r="Q11"/>
      <c r="R11"/>
      <c r="S11"/>
      <c r="T11"/>
      <c r="U11"/>
      <c r="V11"/>
      <c r="W11"/>
    </row>
    <row r="12" spans="12:13" ht="15" customHeight="1">
      <c r="L12" t="s">
        <v>210</v>
      </c>
      <c r="M12"/>
    </row>
    <row r="13" spans="12:13" ht="15" customHeight="1">
      <c r="L13"/>
      <c r="M13"/>
    </row>
    <row r="20" ht="15" customHeight="1">
      <c r="M20" s="109"/>
    </row>
    <row r="27" spans="2:9" ht="15" customHeight="1" thickBot="1">
      <c r="B27" s="623" t="s">
        <v>21</v>
      </c>
      <c r="C27" s="623"/>
      <c r="D27" s="623"/>
      <c r="E27" s="623"/>
      <c r="F27" s="623"/>
      <c r="G27" s="623"/>
      <c r="H27" s="623"/>
      <c r="I27" s="623"/>
    </row>
    <row r="28" spans="2:29" ht="15" customHeight="1" thickBot="1">
      <c r="B28" s="640" t="s">
        <v>43</v>
      </c>
      <c r="C28" s="640"/>
      <c r="D28" s="640"/>
      <c r="E28" s="640"/>
      <c r="F28" s="640"/>
      <c r="G28" s="640"/>
      <c r="H28" s="640"/>
      <c r="I28" s="640"/>
      <c r="J28" s="124"/>
      <c r="K28" s="124"/>
      <c r="L28" s="275" t="s">
        <v>50</v>
      </c>
      <c r="M28" s="274">
        <v>1996</v>
      </c>
      <c r="N28" s="276">
        <v>1997</v>
      </c>
      <c r="O28" s="276">
        <v>1998</v>
      </c>
      <c r="P28" s="276">
        <v>1999</v>
      </c>
      <c r="Q28" s="276">
        <v>2000</v>
      </c>
      <c r="R28" s="276">
        <v>2001</v>
      </c>
      <c r="S28" s="277">
        <v>2002</v>
      </c>
      <c r="T28" s="277">
        <v>2003</v>
      </c>
      <c r="U28" s="276">
        <v>2004</v>
      </c>
      <c r="V28" s="277">
        <v>2005</v>
      </c>
      <c r="W28" s="276">
        <v>2006</v>
      </c>
      <c r="X28" s="276">
        <v>2007</v>
      </c>
      <c r="Y28" s="276">
        <v>2008</v>
      </c>
      <c r="Z28" s="276">
        <v>2009</v>
      </c>
      <c r="AA28" s="276">
        <v>2010</v>
      </c>
      <c r="AB28" s="276">
        <v>2011</v>
      </c>
      <c r="AC28" s="270">
        <v>2012</v>
      </c>
    </row>
    <row r="29" spans="2:29" ht="15" customHeight="1">
      <c r="B29" s="640" t="s">
        <v>189</v>
      </c>
      <c r="C29" s="640"/>
      <c r="D29" s="640"/>
      <c r="E29" s="640"/>
      <c r="F29" s="640"/>
      <c r="G29" s="640"/>
      <c r="H29" s="640"/>
      <c r="I29" s="640"/>
      <c r="J29" s="124"/>
      <c r="K29" s="124"/>
      <c r="L29" s="272" t="s">
        <v>86</v>
      </c>
      <c r="M29" s="54">
        <v>2984</v>
      </c>
      <c r="N29" s="55">
        <v>3302.1</v>
      </c>
      <c r="O29" s="55">
        <v>3392.3</v>
      </c>
      <c r="P29" s="55">
        <v>3578</v>
      </c>
      <c r="Q29" s="55">
        <v>3801.1</v>
      </c>
      <c r="R29" s="55">
        <v>3933.9</v>
      </c>
      <c r="S29" s="142">
        <v>4113</v>
      </c>
      <c r="T29" s="55">
        <v>4306.9</v>
      </c>
      <c r="U29" s="55">
        <v>4595.2</v>
      </c>
      <c r="V29" s="142">
        <v>4780.8</v>
      </c>
      <c r="W29" s="55">
        <v>4934</v>
      </c>
      <c r="X29" s="55">
        <v>5298</v>
      </c>
      <c r="Y29" s="55">
        <v>5462.1</v>
      </c>
      <c r="Z29" s="55">
        <v>5738</v>
      </c>
      <c r="AA29" s="55">
        <v>6232.5</v>
      </c>
      <c r="AB29" s="55">
        <v>6599.8</v>
      </c>
      <c r="AC29" s="56">
        <v>7170.3</v>
      </c>
    </row>
    <row r="30" spans="12:29" ht="15" customHeight="1" thickBot="1">
      <c r="L30" s="273" t="s">
        <v>87</v>
      </c>
      <c r="M30" s="57">
        <v>9322.1</v>
      </c>
      <c r="N30" s="58">
        <v>9916.8</v>
      </c>
      <c r="O30" s="58">
        <v>10648.8</v>
      </c>
      <c r="P30" s="58">
        <v>11071.5</v>
      </c>
      <c r="Q30" s="58">
        <v>11370.9</v>
      </c>
      <c r="R30" s="58">
        <v>11436.2</v>
      </c>
      <c r="S30" s="58">
        <v>11691.1</v>
      </c>
      <c r="T30" s="58">
        <v>12182.8</v>
      </c>
      <c r="U30" s="58">
        <v>13099.2</v>
      </c>
      <c r="V30" s="235">
        <v>14041.2</v>
      </c>
      <c r="W30" s="58">
        <v>15238.6</v>
      </c>
      <c r="X30" s="58">
        <v>17084.4</v>
      </c>
      <c r="Y30" s="58">
        <v>18812.9</v>
      </c>
      <c r="Z30" s="58">
        <v>19538.4</v>
      </c>
      <c r="AA30" s="58">
        <v>20994.4</v>
      </c>
      <c r="AB30" s="58">
        <v>23272.1</v>
      </c>
      <c r="AC30" s="108">
        <v>25755.5</v>
      </c>
    </row>
    <row r="31" ht="15" customHeight="1" thickBot="1"/>
    <row r="32" spans="12:20" ht="15" customHeight="1" thickBot="1">
      <c r="L32" s="268" t="s">
        <v>53</v>
      </c>
      <c r="M32" s="274" t="s">
        <v>15</v>
      </c>
      <c r="N32" s="270" t="s">
        <v>190</v>
      </c>
      <c r="O32"/>
      <c r="P32"/>
      <c r="Q32"/>
      <c r="R32"/>
      <c r="S32" s="6"/>
      <c r="T32" s="6"/>
    </row>
    <row r="33" spans="12:18" ht="15" customHeight="1">
      <c r="L33" s="271" t="s">
        <v>84</v>
      </c>
      <c r="M33" s="59">
        <f>RATE(4,,-M29,Q29)</f>
        <v>0.06237445416222332</v>
      </c>
      <c r="N33" s="125">
        <f>RATE(11,,-Q29,AC29)</f>
        <v>0.05939298725769598</v>
      </c>
      <c r="O33"/>
      <c r="P33"/>
      <c r="Q33"/>
      <c r="R33"/>
    </row>
    <row r="34" spans="12:18" ht="15" customHeight="1" thickBot="1">
      <c r="L34" s="259" t="s">
        <v>85</v>
      </c>
      <c r="M34" s="60">
        <f>RATE(4,,-M30,Q30)</f>
        <v>0.05092148469841937</v>
      </c>
      <c r="N34" s="126">
        <f>RATE(11,,-Q30,AC30)</f>
        <v>0.07715836552873766</v>
      </c>
      <c r="O34"/>
      <c r="P34"/>
      <c r="Q34"/>
      <c r="R34"/>
    </row>
    <row r="37" spans="13:23" ht="15" customHeight="1">
      <c r="M37"/>
      <c r="N37"/>
      <c r="O37"/>
      <c r="P37"/>
      <c r="Q37"/>
      <c r="R37"/>
      <c r="S37"/>
      <c r="T37"/>
      <c r="U37"/>
      <c r="V37"/>
      <c r="W37"/>
    </row>
    <row r="46" ht="15" customHeight="1">
      <c r="M46" s="109"/>
    </row>
  </sheetData>
  <sheetProtection/>
  <mergeCells count="6">
    <mergeCell ref="B28:I28"/>
    <mergeCell ref="B29:I29"/>
    <mergeCell ref="B1:I1"/>
    <mergeCell ref="B2:I2"/>
    <mergeCell ref="B3:I3"/>
    <mergeCell ref="B27:I27"/>
  </mergeCells>
  <printOptions horizontalCentered="1" verticalCentered="1"/>
  <pageMargins left="0.89" right="0.75" top="1" bottom="1" header="0.5118110236220472" footer="0.71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X50"/>
  <sheetViews>
    <sheetView zoomScalePageLayoutView="0" workbookViewId="0" topLeftCell="B1">
      <selection activeCell="S17" sqref="S17"/>
    </sheetView>
  </sheetViews>
  <sheetFormatPr defaultColWidth="10.7109375" defaultRowHeight="15" customHeight="1"/>
  <cols>
    <col min="1" max="1" width="2.7109375" style="1" customWidth="1"/>
    <col min="2" max="11" width="10.7109375" style="1" customWidth="1"/>
    <col min="12" max="12" width="2.7109375" style="1" customWidth="1"/>
    <col min="13" max="13" width="11.421875" style="1" customWidth="1"/>
    <col min="14" max="14" width="10.7109375" style="3" customWidth="1"/>
    <col min="15" max="15" width="12.7109375" style="92" customWidth="1"/>
    <col min="16" max="18" width="10.7109375" style="1" customWidth="1"/>
    <col min="19" max="19" width="12.8515625" style="1" customWidth="1"/>
    <col min="20" max="20" width="11.7109375" style="1" bestFit="1" customWidth="1"/>
    <col min="21" max="21" width="13.57421875" style="1" bestFit="1" customWidth="1"/>
    <col min="22" max="16384" width="10.7109375" style="1" customWidth="1"/>
  </cols>
  <sheetData>
    <row r="1" spans="2:11" ht="15" customHeight="1">
      <c r="B1" s="642" t="s">
        <v>22</v>
      </c>
      <c r="C1" s="642"/>
      <c r="D1" s="642"/>
      <c r="E1" s="642"/>
      <c r="F1" s="642"/>
      <c r="G1" s="642"/>
      <c r="H1" s="642"/>
      <c r="I1" s="642"/>
      <c r="J1" s="642"/>
      <c r="K1" s="642"/>
    </row>
    <row r="2" spans="2:22" ht="15" customHeight="1">
      <c r="B2" s="639" t="s">
        <v>41</v>
      </c>
      <c r="C2" s="642"/>
      <c r="D2" s="642"/>
      <c r="E2" s="642"/>
      <c r="F2" s="642"/>
      <c r="G2" s="642"/>
      <c r="H2" s="642"/>
      <c r="I2" s="642"/>
      <c r="J2" s="642"/>
      <c r="K2" s="642"/>
      <c r="Q2"/>
      <c r="R2"/>
      <c r="S2"/>
      <c r="T2"/>
      <c r="U2"/>
      <c r="V2"/>
    </row>
    <row r="3" spans="2:23" ht="15" customHeight="1" thickBot="1">
      <c r="B3" s="639" t="s">
        <v>346</v>
      </c>
      <c r="C3" s="639"/>
      <c r="D3" s="639"/>
      <c r="E3" s="639"/>
      <c r="F3" s="639"/>
      <c r="G3" s="639"/>
      <c r="H3" s="639"/>
      <c r="I3" s="639"/>
      <c r="J3" s="639"/>
      <c r="K3" s="639"/>
      <c r="Q3"/>
      <c r="R3"/>
      <c r="S3"/>
      <c r="T3"/>
      <c r="U3"/>
      <c r="V3"/>
      <c r="W3"/>
    </row>
    <row r="4" spans="1:23" s="3" customFormat="1" ht="15" customHeight="1" thickBo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N4" s="278" t="s">
        <v>53</v>
      </c>
      <c r="O4" s="279" t="s">
        <v>16</v>
      </c>
      <c r="P4" s="93"/>
      <c r="Q4"/>
      <c r="R4"/>
      <c r="S4"/>
      <c r="T4"/>
      <c r="U4"/>
      <c r="V4"/>
      <c r="W4"/>
    </row>
    <row r="5" spans="1:23" s="3" customFormat="1" ht="15" customHeight="1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N5" s="280">
        <v>2007</v>
      </c>
      <c r="O5" s="95">
        <v>0.25</v>
      </c>
      <c r="P5"/>
      <c r="Q5"/>
      <c r="R5"/>
      <c r="S5"/>
      <c r="T5"/>
      <c r="U5"/>
      <c r="V5"/>
      <c r="W5"/>
    </row>
    <row r="6" spans="14:23" ht="15" customHeight="1">
      <c r="N6" s="281">
        <v>2008</v>
      </c>
      <c r="O6" s="96">
        <v>0.22</v>
      </c>
      <c r="P6"/>
      <c r="Q6"/>
      <c r="R6"/>
      <c r="S6"/>
      <c r="T6"/>
      <c r="U6"/>
      <c r="V6"/>
      <c r="W6"/>
    </row>
    <row r="7" spans="14:23" ht="15" customHeight="1">
      <c r="N7" s="280">
        <v>2009</v>
      </c>
      <c r="O7" s="96">
        <v>0.22</v>
      </c>
      <c r="P7"/>
      <c r="Q7"/>
      <c r="R7"/>
      <c r="S7"/>
      <c r="T7"/>
      <c r="U7"/>
      <c r="V7"/>
      <c r="W7"/>
    </row>
    <row r="8" spans="14:23" ht="15" customHeight="1">
      <c r="N8" s="281">
        <v>2010</v>
      </c>
      <c r="O8" s="96">
        <v>0.22</v>
      </c>
      <c r="P8"/>
      <c r="S8" s="603"/>
      <c r="T8"/>
      <c r="U8"/>
      <c r="V8"/>
      <c r="W8"/>
    </row>
    <row r="9" spans="14:23" ht="15" customHeight="1">
      <c r="N9" s="280">
        <v>2011</v>
      </c>
      <c r="O9" s="96">
        <v>0.19</v>
      </c>
      <c r="P9"/>
      <c r="S9" s="603"/>
      <c r="T9"/>
      <c r="U9"/>
      <c r="V9"/>
      <c r="W9"/>
    </row>
    <row r="10" spans="14:23" ht="15" customHeight="1">
      <c r="N10" s="281">
        <v>2012</v>
      </c>
      <c r="O10" s="96">
        <v>0.18</v>
      </c>
      <c r="P10"/>
      <c r="S10" s="603"/>
      <c r="T10"/>
      <c r="U10"/>
      <c r="V10"/>
      <c r="W10"/>
    </row>
    <row r="11" spans="14:23" ht="15" customHeight="1">
      <c r="N11" s="281">
        <v>2013</v>
      </c>
      <c r="O11" s="96">
        <v>0.16</v>
      </c>
      <c r="P11"/>
      <c r="S11" s="603"/>
      <c r="T11"/>
      <c r="U11"/>
      <c r="V11"/>
      <c r="W11"/>
    </row>
    <row r="12" spans="14:23" ht="15" customHeight="1">
      <c r="N12" s="281">
        <v>2014</v>
      </c>
      <c r="O12" s="96">
        <v>0.16</v>
      </c>
      <c r="P12"/>
      <c r="Q12"/>
      <c r="R12"/>
      <c r="S12"/>
      <c r="T12"/>
      <c r="U12"/>
      <c r="V12"/>
      <c r="W12"/>
    </row>
    <row r="13" spans="14:23" ht="15" customHeight="1">
      <c r="N13" s="282">
        <v>2015</v>
      </c>
      <c r="O13" s="143">
        <v>0.15</v>
      </c>
      <c r="P13"/>
      <c r="Q13"/>
      <c r="R13"/>
      <c r="S13"/>
      <c r="T13"/>
      <c r="U13"/>
      <c r="V13"/>
      <c r="W13"/>
    </row>
    <row r="14" spans="14:23" ht="15" customHeight="1">
      <c r="N14" s="281">
        <v>2016</v>
      </c>
      <c r="O14" s="96">
        <v>0.15</v>
      </c>
      <c r="Q14"/>
      <c r="R14"/>
      <c r="S14"/>
      <c r="T14"/>
      <c r="U14"/>
      <c r="V14"/>
      <c r="W14"/>
    </row>
    <row r="15" spans="14:23" ht="15" customHeight="1">
      <c r="N15" s="281">
        <v>2017</v>
      </c>
      <c r="O15" s="96">
        <v>0.14</v>
      </c>
      <c r="Q15"/>
      <c r="R15"/>
      <c r="S15"/>
      <c r="T15"/>
      <c r="U15"/>
      <c r="V15"/>
      <c r="W15"/>
    </row>
    <row r="16" spans="14:23" ht="15" customHeight="1">
      <c r="N16" s="281">
        <v>2018</v>
      </c>
      <c r="O16" s="96">
        <v>0.14</v>
      </c>
      <c r="Q16"/>
      <c r="R16"/>
      <c r="S16"/>
      <c r="T16"/>
      <c r="U16"/>
      <c r="V16"/>
      <c r="W16"/>
    </row>
    <row r="17" spans="14:23" ht="15" customHeight="1">
      <c r="N17" s="282">
        <v>2019</v>
      </c>
      <c r="O17" s="143">
        <v>0.14</v>
      </c>
      <c r="Q17"/>
      <c r="R17"/>
      <c r="S17"/>
      <c r="T17"/>
      <c r="U17"/>
      <c r="V17"/>
      <c r="W17"/>
    </row>
    <row r="18" spans="14:23" ht="15" customHeight="1">
      <c r="N18" s="282">
        <v>2020</v>
      </c>
      <c r="O18" s="143">
        <v>0.17</v>
      </c>
      <c r="Q18"/>
      <c r="R18"/>
      <c r="S18"/>
      <c r="T18"/>
      <c r="U18"/>
      <c r="V18"/>
      <c r="W18"/>
    </row>
    <row r="19" spans="14:23" ht="15" customHeight="1" thickBot="1">
      <c r="N19" s="283">
        <v>2021</v>
      </c>
      <c r="O19" s="97">
        <v>0.15</v>
      </c>
      <c r="Q19"/>
      <c r="R19"/>
      <c r="S19"/>
      <c r="T19"/>
      <c r="U19"/>
      <c r="V19"/>
      <c r="W19"/>
    </row>
    <row r="20" spans="16:23" ht="15" customHeight="1">
      <c r="P20"/>
      <c r="Q20"/>
      <c r="R20"/>
      <c r="S20"/>
      <c r="T20"/>
      <c r="U20"/>
      <c r="V20"/>
      <c r="W20"/>
    </row>
    <row r="21" spans="14:22" ht="15" customHeight="1">
      <c r="N21" t="s">
        <v>208</v>
      </c>
      <c r="O21"/>
      <c r="P21"/>
      <c r="Q21"/>
      <c r="R21"/>
      <c r="S21"/>
      <c r="T21"/>
      <c r="U21"/>
      <c r="V21"/>
    </row>
    <row r="22" spans="14:22" ht="15" customHeight="1">
      <c r="N22" t="s">
        <v>209</v>
      </c>
      <c r="O22"/>
      <c r="P22"/>
      <c r="Q22"/>
      <c r="R22"/>
      <c r="S22"/>
      <c r="T22"/>
      <c r="U22"/>
      <c r="V22"/>
    </row>
    <row r="23" spans="9:22" ht="15" customHeight="1">
      <c r="I23" s="2"/>
      <c r="J23" s="2"/>
      <c r="K23" s="2"/>
      <c r="N23" t="s">
        <v>210</v>
      </c>
      <c r="O23"/>
      <c r="P23"/>
      <c r="Q23"/>
      <c r="R23"/>
      <c r="S23"/>
      <c r="T23"/>
      <c r="U23"/>
      <c r="V23"/>
    </row>
    <row r="24" spans="9:24" ht="15" customHeight="1">
      <c r="I24" s="2"/>
      <c r="J24" s="2"/>
      <c r="K24" s="2"/>
      <c r="N24"/>
      <c r="O24"/>
      <c r="P24"/>
      <c r="Q24"/>
      <c r="R24"/>
      <c r="S24"/>
      <c r="T24"/>
      <c r="U24"/>
      <c r="V24"/>
      <c r="W24"/>
      <c r="X24"/>
    </row>
    <row r="25" spans="9:24" ht="15" customHeight="1">
      <c r="I25" s="2"/>
      <c r="J25" s="2"/>
      <c r="K25" s="2"/>
      <c r="N25"/>
      <c r="O25"/>
      <c r="P25"/>
      <c r="Q25"/>
      <c r="R25"/>
      <c r="S25"/>
      <c r="T25"/>
      <c r="U25"/>
      <c r="V25"/>
      <c r="W25"/>
      <c r="X25"/>
    </row>
    <row r="26" spans="9:24" ht="15" customHeight="1">
      <c r="I26" s="2"/>
      <c r="J26" s="2"/>
      <c r="K26" s="2"/>
      <c r="N26"/>
      <c r="O26"/>
      <c r="P26"/>
      <c r="Q26"/>
      <c r="R26"/>
      <c r="S26"/>
      <c r="T26"/>
      <c r="U26"/>
      <c r="V26"/>
      <c r="W26"/>
      <c r="X26"/>
    </row>
    <row r="27" spans="9:24" ht="15" customHeight="1">
      <c r="I27" s="2"/>
      <c r="J27" s="2"/>
      <c r="K27" s="2"/>
      <c r="N27"/>
      <c r="O27"/>
      <c r="P27"/>
      <c r="Q27"/>
      <c r="R27"/>
      <c r="S27"/>
      <c r="T27"/>
      <c r="U27"/>
      <c r="V27"/>
      <c r="W27"/>
      <c r="X27"/>
    </row>
    <row r="28" spans="2:24" ht="15" customHeight="1">
      <c r="B28" s="642" t="s">
        <v>22</v>
      </c>
      <c r="C28" s="642"/>
      <c r="D28" s="642"/>
      <c r="E28" s="642"/>
      <c r="F28" s="642"/>
      <c r="G28" s="642"/>
      <c r="H28" s="642"/>
      <c r="I28" s="642"/>
      <c r="J28" s="642"/>
      <c r="K28" s="3"/>
      <c r="P28"/>
      <c r="Q28"/>
      <c r="R28"/>
      <c r="S28"/>
      <c r="T28"/>
      <c r="U28"/>
      <c r="V28"/>
      <c r="W28"/>
      <c r="X28"/>
    </row>
    <row r="29" spans="2:24" ht="15" customHeight="1">
      <c r="B29" s="642" t="s">
        <v>41</v>
      </c>
      <c r="C29" s="642"/>
      <c r="D29" s="642"/>
      <c r="E29" s="642"/>
      <c r="F29" s="642"/>
      <c r="G29" s="642"/>
      <c r="H29" s="642"/>
      <c r="I29" s="642"/>
      <c r="J29" s="642"/>
      <c r="K29" s="3"/>
      <c r="P29"/>
      <c r="Q29"/>
      <c r="R29"/>
      <c r="S29"/>
      <c r="T29"/>
      <c r="U29"/>
      <c r="V29"/>
      <c r="W29"/>
      <c r="X29"/>
    </row>
    <row r="30" spans="2:24" ht="15" customHeight="1" thickBot="1">
      <c r="B30" s="642" t="s">
        <v>189</v>
      </c>
      <c r="C30" s="642"/>
      <c r="D30" s="642"/>
      <c r="E30" s="642"/>
      <c r="F30" s="642"/>
      <c r="G30" s="642"/>
      <c r="H30" s="642"/>
      <c r="I30" s="642"/>
      <c r="J30" s="642"/>
      <c r="K30" s="3"/>
      <c r="P30"/>
      <c r="Q30"/>
      <c r="R30"/>
      <c r="S30"/>
      <c r="T30"/>
      <c r="U30"/>
      <c r="V30"/>
      <c r="W30"/>
      <c r="X30"/>
    </row>
    <row r="31" spans="2:24" ht="15" customHeight="1" thickBot="1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3"/>
      <c r="M31" s="3"/>
      <c r="N31" s="278" t="s">
        <v>53</v>
      </c>
      <c r="O31" s="279" t="s">
        <v>16</v>
      </c>
      <c r="P31"/>
      <c r="Q31"/>
      <c r="R31"/>
      <c r="S31"/>
      <c r="T31"/>
      <c r="U31"/>
      <c r="V31"/>
      <c r="W31"/>
      <c r="X31"/>
    </row>
    <row r="32" spans="2:24" ht="15" customHeight="1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3"/>
      <c r="M32" s="3"/>
      <c r="N32" s="280">
        <v>1996</v>
      </c>
      <c r="O32" s="95">
        <v>0.32</v>
      </c>
      <c r="P32"/>
      <c r="Q32"/>
      <c r="R32"/>
      <c r="S32"/>
      <c r="T32"/>
      <c r="U32"/>
      <c r="V32"/>
      <c r="W32"/>
      <c r="X32"/>
    </row>
    <row r="33" spans="14:24" ht="15" customHeight="1">
      <c r="N33" s="281">
        <v>1997</v>
      </c>
      <c r="O33" s="96">
        <v>0.33</v>
      </c>
      <c r="P33"/>
      <c r="Q33"/>
      <c r="R33"/>
      <c r="S33"/>
      <c r="T33"/>
      <c r="U33"/>
      <c r="V33"/>
      <c r="W33"/>
      <c r="X33"/>
    </row>
    <row r="34" spans="14:24" ht="15" customHeight="1">
      <c r="N34" s="281">
        <v>1998</v>
      </c>
      <c r="O34" s="96">
        <v>0.32</v>
      </c>
      <c r="P34"/>
      <c r="Q34"/>
      <c r="R34"/>
      <c r="S34"/>
      <c r="T34"/>
      <c r="U34"/>
      <c r="V34"/>
      <c r="W34"/>
      <c r="X34"/>
    </row>
    <row r="35" spans="14:15" ht="15" customHeight="1">
      <c r="N35" s="281">
        <v>1999</v>
      </c>
      <c r="O35" s="96">
        <v>0.32</v>
      </c>
    </row>
    <row r="36" spans="14:15" ht="15" customHeight="1">
      <c r="N36" s="281">
        <v>2000</v>
      </c>
      <c r="O36" s="96">
        <v>0.33</v>
      </c>
    </row>
    <row r="37" spans="14:15" ht="15" customHeight="1">
      <c r="N37" s="281">
        <v>2001</v>
      </c>
      <c r="O37" s="96">
        <v>0.34</v>
      </c>
    </row>
    <row r="38" spans="14:15" ht="15" customHeight="1">
      <c r="N38" s="282">
        <v>2002</v>
      </c>
      <c r="O38" s="143">
        <v>0.35</v>
      </c>
    </row>
    <row r="39" spans="14:15" ht="15" customHeight="1">
      <c r="N39" s="281">
        <v>2003</v>
      </c>
      <c r="O39" s="96">
        <v>0.35</v>
      </c>
    </row>
    <row r="40" spans="14:15" ht="15" customHeight="1">
      <c r="N40" s="281">
        <v>2004</v>
      </c>
      <c r="O40" s="96">
        <v>0.35</v>
      </c>
    </row>
    <row r="41" spans="14:15" ht="15" customHeight="1">
      <c r="N41" s="281">
        <v>2005</v>
      </c>
      <c r="O41" s="96">
        <v>0.34</v>
      </c>
    </row>
    <row r="42" spans="14:15" ht="15" customHeight="1">
      <c r="N42" s="281">
        <v>2006</v>
      </c>
      <c r="O42" s="96">
        <v>0.32</v>
      </c>
    </row>
    <row r="43" spans="14:15" ht="15" customHeight="1">
      <c r="N43" s="281">
        <v>2007</v>
      </c>
      <c r="O43" s="96">
        <v>0.31</v>
      </c>
    </row>
    <row r="44" spans="14:15" ht="15" customHeight="1">
      <c r="N44" s="282">
        <v>2008</v>
      </c>
      <c r="O44" s="143">
        <v>0.29</v>
      </c>
    </row>
    <row r="45" spans="14:15" ht="15" customHeight="1">
      <c r="N45" s="281">
        <v>2009</v>
      </c>
      <c r="O45" s="96">
        <v>0.29</v>
      </c>
    </row>
    <row r="46" spans="14:15" ht="15" customHeight="1">
      <c r="N46" s="282">
        <v>2010</v>
      </c>
      <c r="O46" s="143">
        <v>0.3</v>
      </c>
    </row>
    <row r="47" spans="14:15" ht="15" customHeight="1">
      <c r="N47" s="281">
        <v>2011</v>
      </c>
      <c r="O47" s="96">
        <v>0.28</v>
      </c>
    </row>
    <row r="48" spans="14:15" ht="15" customHeight="1" thickBot="1">
      <c r="N48" s="283">
        <v>2012</v>
      </c>
      <c r="O48" s="97">
        <v>0.28</v>
      </c>
    </row>
    <row r="49" spans="9:15" ht="15" customHeight="1">
      <c r="I49" s="2"/>
      <c r="J49" s="2"/>
      <c r="K49" s="2"/>
      <c r="N49"/>
      <c r="O49"/>
    </row>
    <row r="50" spans="9:15" ht="15" customHeight="1">
      <c r="I50" s="2"/>
      <c r="J50" s="2"/>
      <c r="K50" s="2"/>
      <c r="N50"/>
      <c r="O50"/>
    </row>
  </sheetData>
  <sheetProtection/>
  <mergeCells count="6">
    <mergeCell ref="B29:J29"/>
    <mergeCell ref="B30:J30"/>
    <mergeCell ref="B28:J28"/>
    <mergeCell ref="B1:K1"/>
    <mergeCell ref="B2:K2"/>
    <mergeCell ref="B3:K3"/>
  </mergeCells>
  <printOptions horizontalCentered="1" verticalCentered="1"/>
  <pageMargins left="0.6" right="0.75" top="1" bottom="1" header="0.5118110236220472" footer="0.5118110236220472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B1:U59"/>
  <sheetViews>
    <sheetView zoomScalePageLayoutView="0" workbookViewId="0" topLeftCell="A1">
      <selection activeCell="T23" sqref="T23"/>
    </sheetView>
  </sheetViews>
  <sheetFormatPr defaultColWidth="10.7109375" defaultRowHeight="15" customHeight="1"/>
  <cols>
    <col min="1" max="1" width="2.7109375" style="112" customWidth="1"/>
    <col min="2" max="12" width="10.7109375" style="112" customWidth="1"/>
    <col min="13" max="13" width="2.7109375" style="112" customWidth="1"/>
    <col min="14" max="14" width="9.00390625" style="112" customWidth="1"/>
    <col min="15" max="15" width="10.7109375" style="113" customWidth="1"/>
    <col min="16" max="18" width="15.7109375" style="114" customWidth="1"/>
    <col min="19" max="19" width="10.7109375" style="112" customWidth="1"/>
    <col min="20" max="20" width="12.8515625" style="112" customWidth="1"/>
    <col min="21" max="16384" width="10.7109375" style="112" customWidth="1"/>
  </cols>
  <sheetData>
    <row r="1" spans="2:12" ht="15" customHeight="1" thickBot="1">
      <c r="B1" s="642" t="s">
        <v>108</v>
      </c>
      <c r="C1" s="642"/>
      <c r="D1" s="642"/>
      <c r="E1" s="642"/>
      <c r="F1" s="642"/>
      <c r="G1" s="642"/>
      <c r="H1" s="642"/>
      <c r="I1" s="642"/>
      <c r="J1" s="642"/>
      <c r="K1" s="642"/>
      <c r="L1" s="642"/>
    </row>
    <row r="2" spans="2:21" ht="15" customHeight="1">
      <c r="B2" s="642" t="s">
        <v>112</v>
      </c>
      <c r="C2" s="642"/>
      <c r="D2" s="642"/>
      <c r="E2" s="642"/>
      <c r="F2" s="642"/>
      <c r="G2" s="642"/>
      <c r="H2" s="642"/>
      <c r="I2" s="642"/>
      <c r="J2" s="642"/>
      <c r="K2" s="642"/>
      <c r="L2" s="642"/>
      <c r="O2" s="645" t="s">
        <v>53</v>
      </c>
      <c r="P2" s="647" t="s">
        <v>162</v>
      </c>
      <c r="Q2" s="649" t="s">
        <v>276</v>
      </c>
      <c r="R2" s="643" t="s">
        <v>215</v>
      </c>
      <c r="U2"/>
    </row>
    <row r="3" spans="2:21" ht="15" customHeight="1" thickBot="1">
      <c r="B3" s="639" t="s">
        <v>346</v>
      </c>
      <c r="C3" s="639"/>
      <c r="D3" s="639"/>
      <c r="E3" s="639"/>
      <c r="F3" s="639"/>
      <c r="G3" s="639"/>
      <c r="H3" s="639"/>
      <c r="I3" s="639"/>
      <c r="J3" s="639"/>
      <c r="K3" s="639"/>
      <c r="L3" s="639"/>
      <c r="O3" s="646"/>
      <c r="P3" s="648"/>
      <c r="Q3" s="650"/>
      <c r="R3" s="644"/>
      <c r="T3"/>
      <c r="U3"/>
    </row>
    <row r="4" spans="2:21" ht="15" customHeight="1">
      <c r="B4" s="642" t="s">
        <v>214</v>
      </c>
      <c r="C4" s="642"/>
      <c r="D4" s="642"/>
      <c r="E4" s="642"/>
      <c r="F4" s="642"/>
      <c r="G4" s="642"/>
      <c r="H4" s="642"/>
      <c r="I4" s="642"/>
      <c r="J4" s="642"/>
      <c r="K4" s="642"/>
      <c r="L4" s="642"/>
      <c r="O4" s="258">
        <v>2007</v>
      </c>
      <c r="P4" s="519">
        <v>21503560</v>
      </c>
      <c r="Q4" s="523">
        <v>20958</v>
      </c>
      <c r="R4" s="522">
        <f aca="true" t="shared" si="0" ref="R4:R9">+P4/Q4</f>
        <v>1026.0311098387251</v>
      </c>
      <c r="T4"/>
      <c r="U4"/>
    </row>
    <row r="5" spans="15:21" ht="15" customHeight="1">
      <c r="O5" s="257">
        <v>2008</v>
      </c>
      <c r="P5" s="520">
        <v>18216200</v>
      </c>
      <c r="Q5" s="524">
        <v>24522.2</v>
      </c>
      <c r="R5" s="117">
        <f t="shared" si="0"/>
        <v>742.8452585820195</v>
      </c>
      <c r="T5" s="603"/>
      <c r="U5" s="603"/>
    </row>
    <row r="6" spans="15:21" ht="15" customHeight="1">
      <c r="O6" s="257">
        <v>2009</v>
      </c>
      <c r="P6" s="520">
        <v>20548840</v>
      </c>
      <c r="Q6" s="524">
        <v>26593.5</v>
      </c>
      <c r="R6" s="117">
        <f t="shared" si="0"/>
        <v>772.7016000150413</v>
      </c>
      <c r="T6" s="603"/>
      <c r="U6" s="603"/>
    </row>
    <row r="7" spans="15:21" ht="15" customHeight="1">
      <c r="O7" s="257">
        <v>2010</v>
      </c>
      <c r="P7" s="520">
        <v>25511100</v>
      </c>
      <c r="Q7" s="550">
        <v>28917.2</v>
      </c>
      <c r="R7" s="117">
        <f t="shared" si="0"/>
        <v>882.2119707302228</v>
      </c>
      <c r="T7" s="603"/>
      <c r="U7" s="603"/>
    </row>
    <row r="8" spans="15:21" ht="15" customHeight="1">
      <c r="O8" s="257">
        <v>2011</v>
      </c>
      <c r="P8" s="520">
        <v>29404100</v>
      </c>
      <c r="Q8" s="524">
        <v>34373.8</v>
      </c>
      <c r="R8" s="117">
        <f t="shared" si="0"/>
        <v>855.4218619995461</v>
      </c>
      <c r="T8" s="603"/>
      <c r="U8" s="603"/>
    </row>
    <row r="9" spans="15:21" ht="15" customHeight="1">
      <c r="O9" s="257">
        <v>2012</v>
      </c>
      <c r="P9" s="520">
        <v>30426000</v>
      </c>
      <c r="Q9" s="524">
        <v>39954.8</v>
      </c>
      <c r="R9" s="117">
        <f t="shared" si="0"/>
        <v>761.5105068727662</v>
      </c>
      <c r="T9" s="603"/>
      <c r="U9" s="603"/>
    </row>
    <row r="10" spans="15:21" ht="15" customHeight="1">
      <c r="O10" s="465">
        <v>2013</v>
      </c>
      <c r="P10" s="521">
        <v>29621400</v>
      </c>
      <c r="Q10" s="524">
        <v>45600</v>
      </c>
      <c r="R10" s="238">
        <f aca="true" t="shared" si="1" ref="R10:R15">+P10/Q10</f>
        <v>649.5921052631579</v>
      </c>
      <c r="T10" s="603"/>
      <c r="U10" s="603"/>
    </row>
    <row r="11" spans="15:21" ht="15" customHeight="1">
      <c r="O11" s="257">
        <v>2014</v>
      </c>
      <c r="P11" s="518">
        <v>30816600</v>
      </c>
      <c r="Q11" s="524">
        <v>49921.5</v>
      </c>
      <c r="R11" s="117">
        <f t="shared" si="1"/>
        <v>617.3011628256362</v>
      </c>
      <c r="T11" s="603"/>
      <c r="U11" s="603"/>
    </row>
    <row r="12" spans="15:21" ht="15" customHeight="1">
      <c r="O12" s="257">
        <v>2015</v>
      </c>
      <c r="P12" s="518">
        <v>31248100</v>
      </c>
      <c r="Q12" s="524">
        <v>54091.7</v>
      </c>
      <c r="R12" s="117">
        <f t="shared" si="1"/>
        <v>577.6875195270254</v>
      </c>
      <c r="T12" s="603"/>
      <c r="U12" s="603"/>
    </row>
    <row r="13" spans="15:21" ht="15" customHeight="1">
      <c r="O13" s="258">
        <v>2016</v>
      </c>
      <c r="P13" s="554">
        <v>32877900</v>
      </c>
      <c r="Q13" s="525">
        <v>57907.7</v>
      </c>
      <c r="R13" s="238">
        <f t="shared" si="1"/>
        <v>567.7638725074559</v>
      </c>
      <c r="T13" s="603"/>
      <c r="U13" s="603"/>
    </row>
    <row r="14" spans="15:21" ht="15" customHeight="1">
      <c r="O14" s="258">
        <v>2017</v>
      </c>
      <c r="P14" s="554">
        <v>34295800</v>
      </c>
      <c r="Q14" s="525">
        <v>62202.80883763293</v>
      </c>
      <c r="R14" s="238">
        <f t="shared" si="1"/>
        <v>551.3545230653782</v>
      </c>
      <c r="T14" s="603"/>
      <c r="U14" s="603"/>
    </row>
    <row r="15" spans="15:21" ht="15" customHeight="1">
      <c r="O15" s="257">
        <v>2018</v>
      </c>
      <c r="P15" s="518">
        <v>34540900</v>
      </c>
      <c r="Q15" s="524">
        <v>64929.4</v>
      </c>
      <c r="R15" s="117">
        <f t="shared" si="1"/>
        <v>531.9762696097607</v>
      </c>
      <c r="T15" s="603"/>
      <c r="U15" s="603"/>
    </row>
    <row r="16" spans="15:21" ht="15" customHeight="1">
      <c r="O16" s="258">
        <v>2019</v>
      </c>
      <c r="P16" s="554">
        <v>37934700</v>
      </c>
      <c r="Q16" s="525">
        <v>66984.4</v>
      </c>
      <c r="R16" s="238">
        <f>+P16/Q16</f>
        <v>566.3214121496947</v>
      </c>
      <c r="T16" s="603"/>
      <c r="U16" s="603"/>
    </row>
    <row r="17" spans="15:21" ht="15" customHeight="1">
      <c r="O17" s="258">
        <v>2020</v>
      </c>
      <c r="P17" s="554">
        <v>28898000</v>
      </c>
      <c r="Q17" s="525">
        <v>53977</v>
      </c>
      <c r="R17" s="238">
        <f>+P17/Q17</f>
        <v>535.3761787427978</v>
      </c>
      <c r="T17" s="603"/>
      <c r="U17" s="603"/>
    </row>
    <row r="18" spans="15:21" ht="15" customHeight="1" thickBot="1">
      <c r="O18" s="259">
        <v>2021</v>
      </c>
      <c r="P18" s="466">
        <v>32437100</v>
      </c>
      <c r="Q18" s="527">
        <v>63605.1</v>
      </c>
      <c r="R18" s="188">
        <f>+P18/Q18</f>
        <v>509.9764012634207</v>
      </c>
      <c r="T18"/>
      <c r="U18"/>
    </row>
    <row r="19" spans="18:20" ht="15" customHeight="1">
      <c r="R19" s="402"/>
      <c r="T19"/>
    </row>
    <row r="20" spans="15:20" ht="15" customHeight="1">
      <c r="O20" t="s">
        <v>208</v>
      </c>
      <c r="P20"/>
      <c r="Q20" s="402"/>
      <c r="R20" s="402"/>
      <c r="T20"/>
    </row>
    <row r="21" spans="15:20" ht="15" customHeight="1">
      <c r="O21" t="s">
        <v>209</v>
      </c>
      <c r="P21"/>
      <c r="Q21" s="402"/>
      <c r="R21" s="402"/>
      <c r="T21"/>
    </row>
    <row r="22" spans="15:20" ht="15" customHeight="1">
      <c r="O22" t="s">
        <v>210</v>
      </c>
      <c r="P22"/>
      <c r="Q22" s="402"/>
      <c r="R22" s="402"/>
      <c r="T22"/>
    </row>
    <row r="23" spans="15:20" ht="15" customHeight="1">
      <c r="O23" s="61" t="s">
        <v>216</v>
      </c>
      <c r="T23"/>
    </row>
    <row r="24" spans="15:20" ht="15" customHeight="1">
      <c r="O24" s="166"/>
      <c r="P24"/>
      <c r="T24"/>
    </row>
    <row r="25" spans="15:16" ht="15" customHeight="1">
      <c r="O25" s="61"/>
      <c r="P25"/>
    </row>
    <row r="26" spans="15:18" ht="15" customHeight="1">
      <c r="O26"/>
      <c r="P26"/>
      <c r="Q26"/>
      <c r="R26"/>
    </row>
    <row r="27" spans="15:18" ht="15" customHeight="1">
      <c r="O27"/>
      <c r="P27"/>
      <c r="Q27"/>
      <c r="R27"/>
    </row>
    <row r="28" spans="15:18" ht="15" customHeight="1">
      <c r="O28"/>
      <c r="P28"/>
      <c r="Q28"/>
      <c r="R28"/>
    </row>
    <row r="29" spans="15:18" ht="15" customHeight="1">
      <c r="O29"/>
      <c r="P29"/>
      <c r="Q29"/>
      <c r="R29"/>
    </row>
    <row r="30" spans="15:18" ht="15" customHeight="1">
      <c r="O30"/>
      <c r="P30"/>
      <c r="Q30"/>
      <c r="R30"/>
    </row>
    <row r="31" spans="2:12" ht="15" customHeight="1" thickBot="1">
      <c r="B31" s="642" t="s">
        <v>108</v>
      </c>
      <c r="C31" s="642"/>
      <c r="D31" s="642"/>
      <c r="E31" s="642"/>
      <c r="F31" s="642"/>
      <c r="G31" s="642"/>
      <c r="H31" s="642"/>
      <c r="I31" s="642"/>
      <c r="J31" s="642"/>
      <c r="K31" s="642"/>
      <c r="L31" s="3"/>
    </row>
    <row r="32" spans="2:18" ht="15" customHeight="1">
      <c r="B32" s="642" t="s">
        <v>112</v>
      </c>
      <c r="C32" s="642"/>
      <c r="D32" s="642"/>
      <c r="E32" s="642"/>
      <c r="F32" s="642"/>
      <c r="G32" s="642"/>
      <c r="H32" s="642"/>
      <c r="I32" s="642"/>
      <c r="J32" s="642"/>
      <c r="K32" s="642"/>
      <c r="L32" s="3"/>
      <c r="O32" s="645" t="s">
        <v>53</v>
      </c>
      <c r="P32" s="647" t="s">
        <v>162</v>
      </c>
      <c r="Q32" s="649" t="s">
        <v>126</v>
      </c>
      <c r="R32" s="651" t="s">
        <v>111</v>
      </c>
    </row>
    <row r="33" spans="2:18" ht="15" customHeight="1" thickBot="1">
      <c r="B33" s="642" t="s">
        <v>189</v>
      </c>
      <c r="C33" s="642"/>
      <c r="D33" s="642"/>
      <c r="E33" s="642"/>
      <c r="F33" s="642"/>
      <c r="G33" s="642"/>
      <c r="H33" s="642"/>
      <c r="I33" s="642"/>
      <c r="J33" s="642"/>
      <c r="K33" s="642"/>
      <c r="L33" s="3"/>
      <c r="O33" s="646"/>
      <c r="P33" s="648"/>
      <c r="Q33" s="650"/>
      <c r="R33" s="652"/>
    </row>
    <row r="34" spans="2:18" ht="15" customHeight="1">
      <c r="B34" s="642" t="s">
        <v>163</v>
      </c>
      <c r="C34" s="642"/>
      <c r="D34" s="642"/>
      <c r="E34" s="642"/>
      <c r="F34" s="642"/>
      <c r="G34" s="642"/>
      <c r="H34" s="642"/>
      <c r="I34" s="642"/>
      <c r="J34" s="642"/>
      <c r="K34" s="642"/>
      <c r="L34" s="3"/>
      <c r="O34" s="257">
        <v>1996</v>
      </c>
      <c r="P34" s="115">
        <f>20686.5*1000</f>
        <v>20686500</v>
      </c>
      <c r="Q34" s="116">
        <v>9322.1</v>
      </c>
      <c r="R34" s="117">
        <f aca="true" t="shared" si="2" ref="R34:R45">+P34/Q34</f>
        <v>2219.0815374218255</v>
      </c>
    </row>
    <row r="35" spans="15:18" ht="15" customHeight="1">
      <c r="O35" s="257">
        <v>1997</v>
      </c>
      <c r="P35" s="115">
        <f>(20984.38*1000)</f>
        <v>20984380</v>
      </c>
      <c r="Q35" s="116">
        <v>9916.8</v>
      </c>
      <c r="R35" s="117">
        <f t="shared" si="2"/>
        <v>2116.0434817683126</v>
      </c>
    </row>
    <row r="36" spans="15:18" ht="15" customHeight="1">
      <c r="O36" s="257">
        <v>1998</v>
      </c>
      <c r="P36" s="115">
        <f>(21679.91*1000)</f>
        <v>21679910</v>
      </c>
      <c r="Q36" s="116">
        <v>10648.8</v>
      </c>
      <c r="R36" s="117">
        <f t="shared" si="2"/>
        <v>2035.9016978438885</v>
      </c>
    </row>
    <row r="37" spans="15:18" ht="15" customHeight="1">
      <c r="O37" s="257">
        <v>1999</v>
      </c>
      <c r="P37" s="115">
        <f>(19395.41*1000)</f>
        <v>19395410</v>
      </c>
      <c r="Q37" s="116">
        <v>11071.5</v>
      </c>
      <c r="R37" s="117">
        <f t="shared" si="2"/>
        <v>1751.8321817278597</v>
      </c>
    </row>
    <row r="38" spans="15:18" ht="15" customHeight="1">
      <c r="O38" s="257">
        <v>2000</v>
      </c>
      <c r="P38" s="115">
        <f>(21336.13*1000)</f>
        <v>21336130</v>
      </c>
      <c r="Q38" s="116">
        <v>11370.9</v>
      </c>
      <c r="R38" s="117">
        <f t="shared" si="2"/>
        <v>1876.3800578670114</v>
      </c>
    </row>
    <row r="39" spans="15:18" ht="15" customHeight="1">
      <c r="O39" s="257">
        <v>2001</v>
      </c>
      <c r="P39" s="115">
        <f>(25981.66*1000)</f>
        <v>25981660</v>
      </c>
      <c r="Q39" s="116">
        <v>11436.2</v>
      </c>
      <c r="R39" s="117">
        <f t="shared" si="2"/>
        <v>2271.8787709204103</v>
      </c>
    </row>
    <row r="40" spans="15:18" ht="15" customHeight="1">
      <c r="O40" s="257">
        <v>2002</v>
      </c>
      <c r="P40" s="115">
        <f>(23052.07*1000)</f>
        <v>23052070</v>
      </c>
      <c r="Q40" s="116">
        <v>11691.1</v>
      </c>
      <c r="R40" s="117">
        <f t="shared" si="2"/>
        <v>1971.7622807092573</v>
      </c>
    </row>
    <row r="41" spans="15:18" ht="15" customHeight="1">
      <c r="O41" s="257">
        <v>2003</v>
      </c>
      <c r="P41" s="115">
        <v>20729720</v>
      </c>
      <c r="Q41" s="116">
        <v>12182.8</v>
      </c>
      <c r="R41" s="117">
        <f t="shared" si="2"/>
        <v>1701.55629247792</v>
      </c>
    </row>
    <row r="42" spans="15:18" ht="15" customHeight="1">
      <c r="O42" s="257">
        <v>2004</v>
      </c>
      <c r="P42" s="115">
        <v>21656790</v>
      </c>
      <c r="Q42" s="116">
        <v>13099.2</v>
      </c>
      <c r="R42" s="117">
        <f t="shared" si="2"/>
        <v>1653.2910406742396</v>
      </c>
    </row>
    <row r="43" spans="15:18" ht="15" customHeight="1">
      <c r="O43" s="258">
        <v>2005</v>
      </c>
      <c r="P43" s="236">
        <v>21904020</v>
      </c>
      <c r="Q43" s="237">
        <v>14041.2</v>
      </c>
      <c r="R43" s="238">
        <f t="shared" si="2"/>
        <v>1559.9820528159985</v>
      </c>
    </row>
    <row r="44" spans="15:18" ht="15" customHeight="1">
      <c r="O44" s="257">
        <v>2006</v>
      </c>
      <c r="P44" s="115">
        <v>22407480</v>
      </c>
      <c r="Q44" s="116">
        <v>15238.6</v>
      </c>
      <c r="R44" s="117">
        <f t="shared" si="2"/>
        <v>1470.4421666032313</v>
      </c>
    </row>
    <row r="45" spans="15:18" ht="15" customHeight="1">
      <c r="O45" s="258">
        <v>2007</v>
      </c>
      <c r="P45" s="236">
        <v>25315200</v>
      </c>
      <c r="Q45" s="237">
        <v>17084.4</v>
      </c>
      <c r="R45" s="238">
        <f t="shared" si="2"/>
        <v>1481.7728454028236</v>
      </c>
    </row>
    <row r="46" spans="15:18" ht="15" customHeight="1">
      <c r="O46" s="257">
        <v>2008</v>
      </c>
      <c r="P46" s="115">
        <v>24002000</v>
      </c>
      <c r="Q46" s="116">
        <v>18812.9</v>
      </c>
      <c r="R46" s="117">
        <f>+P46/Q46</f>
        <v>1275.8266933859213</v>
      </c>
    </row>
    <row r="47" spans="15:18" ht="15" customHeight="1">
      <c r="O47" s="257">
        <v>2009</v>
      </c>
      <c r="P47" s="115">
        <v>26253470</v>
      </c>
      <c r="Q47" s="116">
        <v>19538.4</v>
      </c>
      <c r="R47" s="117">
        <f>+P47/Q47</f>
        <v>1343.6857675142282</v>
      </c>
    </row>
    <row r="48" spans="15:18" ht="15" customHeight="1">
      <c r="O48" s="257">
        <v>2010</v>
      </c>
      <c r="P48" s="115">
        <v>28203700</v>
      </c>
      <c r="Q48" s="116">
        <v>20994.4</v>
      </c>
      <c r="R48" s="117">
        <f>+P48/Q48</f>
        <v>1343.3915710856227</v>
      </c>
    </row>
    <row r="49" spans="15:18" ht="15" customHeight="1">
      <c r="O49" s="257">
        <v>2011</v>
      </c>
      <c r="P49" s="115">
        <v>32235700</v>
      </c>
      <c r="Q49" s="116">
        <v>23272.1</v>
      </c>
      <c r="R49" s="117">
        <f>+P49/Q49</f>
        <v>1385.1650689022479</v>
      </c>
    </row>
    <row r="50" spans="15:18" ht="15" customHeight="1" thickBot="1">
      <c r="O50" s="259">
        <v>2012</v>
      </c>
      <c r="P50" s="118">
        <v>33289700</v>
      </c>
      <c r="Q50" s="187">
        <v>25755.5</v>
      </c>
      <c r="R50" s="188">
        <f>+P50/Q50</f>
        <v>1292.5278095940673</v>
      </c>
    </row>
    <row r="51" ht="15" customHeight="1">
      <c r="O51" s="61"/>
    </row>
    <row r="52" ht="15" customHeight="1">
      <c r="O52" s="166" t="s">
        <v>191</v>
      </c>
    </row>
    <row r="53" ht="15" customHeight="1">
      <c r="O53" s="61" t="s">
        <v>96</v>
      </c>
    </row>
    <row r="54" spans="15:18" ht="15" customHeight="1">
      <c r="O54"/>
      <c r="P54"/>
      <c r="Q54"/>
      <c r="R54"/>
    </row>
    <row r="55" spans="15:18" ht="15" customHeight="1">
      <c r="O55"/>
      <c r="P55"/>
      <c r="Q55"/>
      <c r="R55"/>
    </row>
    <row r="56" spans="15:18" ht="15" customHeight="1">
      <c r="O56"/>
      <c r="P56"/>
      <c r="Q56"/>
      <c r="R56"/>
    </row>
    <row r="57" spans="15:18" ht="15" customHeight="1">
      <c r="O57"/>
      <c r="P57"/>
      <c r="Q57"/>
      <c r="R57"/>
    </row>
    <row r="58" spans="15:18" ht="15" customHeight="1">
      <c r="O58"/>
      <c r="P58"/>
      <c r="Q58"/>
      <c r="R58"/>
    </row>
    <row r="59" spans="15:18" ht="15" customHeight="1">
      <c r="O59"/>
      <c r="P59"/>
      <c r="Q59"/>
      <c r="R59"/>
    </row>
  </sheetData>
  <sheetProtection/>
  <mergeCells count="16">
    <mergeCell ref="B4:L4"/>
    <mergeCell ref="Q32:Q33"/>
    <mergeCell ref="R32:R33"/>
    <mergeCell ref="B33:K33"/>
    <mergeCell ref="P32:P33"/>
    <mergeCell ref="B34:K34"/>
    <mergeCell ref="B31:K31"/>
    <mergeCell ref="B32:K32"/>
    <mergeCell ref="O32:O33"/>
    <mergeCell ref="R2:R3"/>
    <mergeCell ref="O2:O3"/>
    <mergeCell ref="P2:P3"/>
    <mergeCell ref="Q2:Q3"/>
    <mergeCell ref="B1:L1"/>
    <mergeCell ref="B2:L2"/>
    <mergeCell ref="B3:L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W67"/>
  <sheetViews>
    <sheetView zoomScalePageLayoutView="0" workbookViewId="0" topLeftCell="A1">
      <selection activeCell="L34" sqref="L34"/>
    </sheetView>
  </sheetViews>
  <sheetFormatPr defaultColWidth="10.7109375" defaultRowHeight="15" customHeight="1"/>
  <cols>
    <col min="1" max="1" width="2.7109375" style="112" customWidth="1"/>
    <col min="2" max="13" width="10.7109375" style="112" customWidth="1"/>
    <col min="14" max="14" width="2.7109375" style="112" customWidth="1"/>
    <col min="15" max="15" width="12.140625" style="112" customWidth="1"/>
    <col min="16" max="16" width="10.7109375" style="113" customWidth="1"/>
    <col min="17" max="19" width="15.7109375" style="114" customWidth="1"/>
    <col min="20" max="20" width="10.7109375" style="112" customWidth="1"/>
    <col min="21" max="21" width="12.8515625" style="112" customWidth="1"/>
    <col min="22" max="22" width="10.7109375" style="112" customWidth="1"/>
    <col min="23" max="23" width="13.00390625" style="112" customWidth="1"/>
    <col min="24" max="16384" width="10.7109375" style="112" customWidth="1"/>
  </cols>
  <sheetData>
    <row r="1" spans="2:13" ht="15" customHeight="1" thickBot="1">
      <c r="B1" s="642" t="s">
        <v>107</v>
      </c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</row>
    <row r="2" spans="1:20" ht="15" customHeight="1">
      <c r="A2"/>
      <c r="B2" s="642" t="s">
        <v>97</v>
      </c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P2" s="645" t="s">
        <v>53</v>
      </c>
      <c r="Q2" s="647" t="s">
        <v>162</v>
      </c>
      <c r="R2" s="649" t="s">
        <v>98</v>
      </c>
      <c r="S2" s="651" t="s">
        <v>166</v>
      </c>
      <c r="T2"/>
    </row>
    <row r="3" spans="1:22" ht="15" customHeight="1" thickBot="1">
      <c r="A3"/>
      <c r="B3" s="639" t="s">
        <v>353</v>
      </c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P3" s="646"/>
      <c r="Q3" s="648"/>
      <c r="R3" s="650"/>
      <c r="S3" s="652"/>
      <c r="T3"/>
      <c r="U3"/>
      <c r="V3"/>
    </row>
    <row r="4" spans="1:22" ht="15" customHeight="1">
      <c r="A4"/>
      <c r="B4" s="642" t="s">
        <v>164</v>
      </c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P4" s="257">
        <v>1996</v>
      </c>
      <c r="Q4" s="115">
        <v>15720000</v>
      </c>
      <c r="R4" s="116">
        <v>2623.202781901794</v>
      </c>
      <c r="S4" s="117">
        <f aca="true" t="shared" si="0" ref="S4:S15">+Q4/R4</f>
        <v>5992.674340106932</v>
      </c>
      <c r="T4"/>
      <c r="U4"/>
      <c r="V4"/>
    </row>
    <row r="5" spans="1:22" ht="15" customHeight="1">
      <c r="A5"/>
      <c r="P5" s="257">
        <v>1997</v>
      </c>
      <c r="Q5" s="115">
        <v>17213880</v>
      </c>
      <c r="R5" s="116">
        <v>2675.66683753983</v>
      </c>
      <c r="S5" s="117">
        <f t="shared" si="0"/>
        <v>6433.4915537644</v>
      </c>
      <c r="T5"/>
      <c r="U5"/>
      <c r="V5"/>
    </row>
    <row r="6" spans="1:22" ht="15" customHeight="1">
      <c r="A6"/>
      <c r="P6" s="257">
        <v>1998</v>
      </c>
      <c r="Q6" s="115">
        <v>17732640</v>
      </c>
      <c r="R6" s="116">
        <v>2729.1801742906264</v>
      </c>
      <c r="S6" s="117">
        <f t="shared" si="0"/>
        <v>6497.423719783946</v>
      </c>
      <c r="T6"/>
      <c r="U6"/>
      <c r="V6"/>
    </row>
    <row r="7" spans="1:23" ht="15" customHeight="1">
      <c r="A7"/>
      <c r="P7" s="257">
        <v>1999</v>
      </c>
      <c r="Q7" s="115">
        <v>17051030</v>
      </c>
      <c r="R7" s="116">
        <v>2783.763777776439</v>
      </c>
      <c r="S7" s="117">
        <f t="shared" si="0"/>
        <v>6125.171300856458</v>
      </c>
      <c r="T7"/>
      <c r="U7"/>
      <c r="V7"/>
      <c r="W7"/>
    </row>
    <row r="8" spans="1:23" ht="15" customHeight="1">
      <c r="A8"/>
      <c r="P8" s="257">
        <v>2000</v>
      </c>
      <c r="Q8" s="115">
        <v>18388300</v>
      </c>
      <c r="R8" s="116">
        <v>2948.023</v>
      </c>
      <c r="S8" s="117">
        <f t="shared" si="0"/>
        <v>6237.502217587854</v>
      </c>
      <c r="T8"/>
      <c r="U8"/>
      <c r="V8"/>
      <c r="W8"/>
    </row>
    <row r="9" spans="1:23" ht="15" customHeight="1">
      <c r="A9"/>
      <c r="P9" s="257">
        <v>2001</v>
      </c>
      <c r="Q9" s="115">
        <v>23022540</v>
      </c>
      <c r="R9" s="116">
        <v>2990.769</v>
      </c>
      <c r="S9" s="117">
        <f t="shared" si="0"/>
        <v>7697.866334711909</v>
      </c>
      <c r="T9"/>
      <c r="U9"/>
      <c r="V9"/>
      <c r="W9"/>
    </row>
    <row r="10" spans="1:23" ht="15" customHeight="1">
      <c r="A10"/>
      <c r="P10" s="257">
        <v>2002</v>
      </c>
      <c r="Q10" s="115">
        <v>20815430</v>
      </c>
      <c r="R10" s="116">
        <v>3034.135</v>
      </c>
      <c r="S10" s="117">
        <f t="shared" si="0"/>
        <v>6860.416560238749</v>
      </c>
      <c r="T10"/>
      <c r="U10"/>
      <c r="V10"/>
      <c r="W10"/>
    </row>
    <row r="11" spans="1:23" ht="15" customHeight="1">
      <c r="A11"/>
      <c r="P11" s="284">
        <v>2003</v>
      </c>
      <c r="Q11" s="115">
        <v>17247400</v>
      </c>
      <c r="R11" s="189">
        <v>3078.13</v>
      </c>
      <c r="S11" s="190">
        <f t="shared" si="0"/>
        <v>5603.2071419985505</v>
      </c>
      <c r="T11"/>
      <c r="U11"/>
      <c r="V11"/>
      <c r="W11"/>
    </row>
    <row r="12" spans="1:23" ht="15" customHeight="1">
      <c r="A12"/>
      <c r="P12" s="284">
        <v>2004</v>
      </c>
      <c r="Q12" s="115">
        <v>18211460</v>
      </c>
      <c r="R12" s="189">
        <v>3122.763</v>
      </c>
      <c r="S12" s="190">
        <f t="shared" si="0"/>
        <v>5831.841865681129</v>
      </c>
      <c r="T12"/>
      <c r="U12"/>
      <c r="V12"/>
      <c r="W12"/>
    </row>
    <row r="13" spans="1:23" ht="15" customHeight="1">
      <c r="A13"/>
      <c r="P13" s="284">
        <v>2005</v>
      </c>
      <c r="Q13" s="236">
        <v>18019470</v>
      </c>
      <c r="R13" s="189">
        <v>3168.043</v>
      </c>
      <c r="S13" s="190">
        <f t="shared" si="0"/>
        <v>5687.886812142386</v>
      </c>
      <c r="T13"/>
      <c r="U13"/>
      <c r="V13"/>
      <c r="W13"/>
    </row>
    <row r="14" spans="1:23" ht="15" customHeight="1">
      <c r="A14"/>
      <c r="P14" s="284">
        <v>2006</v>
      </c>
      <c r="Q14" s="115">
        <v>18874590</v>
      </c>
      <c r="R14" s="189">
        <v>3213.98</v>
      </c>
      <c r="S14" s="190">
        <f t="shared" si="0"/>
        <v>5872.653221239709</v>
      </c>
      <c r="T14"/>
      <c r="U14"/>
      <c r="V14"/>
      <c r="W14"/>
    </row>
    <row r="15" spans="1:22" ht="15" customHeight="1">
      <c r="A15"/>
      <c r="P15" s="284">
        <v>2007</v>
      </c>
      <c r="Q15" s="236">
        <v>21503560</v>
      </c>
      <c r="R15" s="189">
        <v>3260.583</v>
      </c>
      <c r="S15" s="190">
        <f t="shared" si="0"/>
        <v>6595.0046356740495</v>
      </c>
      <c r="T15"/>
      <c r="U15"/>
      <c r="V15"/>
    </row>
    <row r="16" spans="1:22" ht="15" customHeight="1">
      <c r="A16"/>
      <c r="P16" s="285">
        <v>2008</v>
      </c>
      <c r="Q16" s="115">
        <v>18216200</v>
      </c>
      <c r="R16" s="253">
        <v>3307.861</v>
      </c>
      <c r="S16" s="254">
        <f aca="true" t="shared" si="1" ref="S16:S21">+Q16/R16</f>
        <v>5506.942401751465</v>
      </c>
      <c r="T16"/>
      <c r="U16"/>
      <c r="V16"/>
    </row>
    <row r="17" spans="1:22" ht="15" customHeight="1">
      <c r="A17"/>
      <c r="P17" s="284">
        <v>2009</v>
      </c>
      <c r="Q17" s="115">
        <v>20548840</v>
      </c>
      <c r="R17" s="189">
        <v>3355.825</v>
      </c>
      <c r="S17" s="190">
        <f t="shared" si="1"/>
        <v>6123.334798447476</v>
      </c>
      <c r="T17"/>
      <c r="U17"/>
      <c r="V17"/>
    </row>
    <row r="18" spans="1:22" ht="15" customHeight="1">
      <c r="A18"/>
      <c r="P18" s="284">
        <v>2010</v>
      </c>
      <c r="Q18" s="115">
        <v>25511100</v>
      </c>
      <c r="R18" s="189">
        <v>3661.835</v>
      </c>
      <c r="S18" s="190">
        <f t="shared" si="1"/>
        <v>6966.753007713346</v>
      </c>
      <c r="T18"/>
      <c r="U18"/>
      <c r="V18"/>
    </row>
    <row r="19" spans="1:22" ht="15" customHeight="1">
      <c r="A19"/>
      <c r="P19" s="284">
        <v>2011</v>
      </c>
      <c r="Q19" s="115">
        <v>29404100</v>
      </c>
      <c r="R19" s="189">
        <v>3723.821</v>
      </c>
      <c r="S19" s="190">
        <f t="shared" si="1"/>
        <v>7896.2173530897435</v>
      </c>
      <c r="T19"/>
      <c r="U19"/>
      <c r="V19"/>
    </row>
    <row r="20" spans="1:22" ht="15" customHeight="1">
      <c r="A20"/>
      <c r="P20" s="285">
        <v>2012</v>
      </c>
      <c r="Q20" s="115">
        <v>30426000</v>
      </c>
      <c r="R20" s="253">
        <v>3787.511</v>
      </c>
      <c r="S20" s="254">
        <f t="shared" si="1"/>
        <v>8033.243995859022</v>
      </c>
      <c r="T20"/>
      <c r="U20"/>
      <c r="V20"/>
    </row>
    <row r="21" spans="1:22" ht="15" customHeight="1">
      <c r="A21"/>
      <c r="P21" s="284">
        <v>2013</v>
      </c>
      <c r="Q21" s="521">
        <v>29621400</v>
      </c>
      <c r="R21" s="189">
        <v>3850.735</v>
      </c>
      <c r="S21" s="190">
        <f t="shared" si="1"/>
        <v>7692.401580477493</v>
      </c>
      <c r="T21"/>
      <c r="U21"/>
      <c r="V21"/>
    </row>
    <row r="22" spans="1:22" ht="15" customHeight="1">
      <c r="A22"/>
      <c r="P22" s="257">
        <v>2014</v>
      </c>
      <c r="Q22" s="518">
        <v>30816600</v>
      </c>
      <c r="R22" s="189">
        <v>3913.275</v>
      </c>
      <c r="S22" s="190">
        <f aca="true" t="shared" si="2" ref="S22:S27">+Q22/R22</f>
        <v>7874.887402495352</v>
      </c>
      <c r="T22"/>
      <c r="U22"/>
      <c r="V22"/>
    </row>
    <row r="23" spans="16:22" ht="15" customHeight="1">
      <c r="P23" s="257">
        <v>2015</v>
      </c>
      <c r="Q23" s="518">
        <v>31248100</v>
      </c>
      <c r="R23" s="189">
        <v>3975.404</v>
      </c>
      <c r="S23" s="190">
        <f t="shared" si="2"/>
        <v>7860.358343453898</v>
      </c>
      <c r="T23"/>
      <c r="U23"/>
      <c r="V23"/>
    </row>
    <row r="24" spans="16:22" ht="15" customHeight="1">
      <c r="P24" s="257">
        <v>2016</v>
      </c>
      <c r="Q24" s="554">
        <v>32877900</v>
      </c>
      <c r="R24" s="189">
        <v>4037.043</v>
      </c>
      <c r="S24" s="190">
        <f t="shared" si="2"/>
        <v>8144.0549431849</v>
      </c>
      <c r="T24"/>
      <c r="U24"/>
      <c r="V24"/>
    </row>
    <row r="25" spans="16:22" ht="15" customHeight="1">
      <c r="P25" s="258">
        <v>2017</v>
      </c>
      <c r="Q25" s="554">
        <v>34295800</v>
      </c>
      <c r="R25" s="253">
        <v>4098.1</v>
      </c>
      <c r="S25" s="254">
        <f t="shared" si="2"/>
        <v>8368.707449793807</v>
      </c>
      <c r="T25"/>
      <c r="U25"/>
      <c r="V25"/>
    </row>
    <row r="26" spans="16:22" ht="15" customHeight="1">
      <c r="P26" s="257">
        <v>2018</v>
      </c>
      <c r="Q26" s="518">
        <v>34540900</v>
      </c>
      <c r="R26" s="189">
        <v>4158.8</v>
      </c>
      <c r="S26" s="190">
        <f t="shared" si="2"/>
        <v>8305.496777916707</v>
      </c>
      <c r="T26"/>
      <c r="U26"/>
      <c r="V26"/>
    </row>
    <row r="27" spans="16:21" ht="15" customHeight="1">
      <c r="P27" s="258">
        <v>2019</v>
      </c>
      <c r="Q27" s="554">
        <v>37934700</v>
      </c>
      <c r="R27" s="253">
        <v>4218.8</v>
      </c>
      <c r="S27" s="254">
        <f t="shared" si="2"/>
        <v>8991.822319142884</v>
      </c>
      <c r="U27"/>
    </row>
    <row r="28" spans="16:21" ht="15" customHeight="1">
      <c r="P28" s="258">
        <v>2020</v>
      </c>
      <c r="Q28" s="554">
        <v>28898000</v>
      </c>
      <c r="R28" s="253">
        <v>4278.5</v>
      </c>
      <c r="S28" s="254">
        <f>+Q28/R28</f>
        <v>6754.2362977679095</v>
      </c>
      <c r="U28"/>
    </row>
    <row r="29" spans="16:19" ht="15" customHeight="1" thickBot="1">
      <c r="P29" s="259">
        <v>2021</v>
      </c>
      <c r="Q29" s="466">
        <v>32437100</v>
      </c>
      <c r="R29" s="191">
        <v>4337.4</v>
      </c>
      <c r="S29" s="192">
        <f>+Q29/R29</f>
        <v>7478.466362336884</v>
      </c>
    </row>
    <row r="30" ht="15" customHeight="1">
      <c r="P30" t="s">
        <v>96</v>
      </c>
    </row>
    <row r="31" spans="16:19" ht="15" customHeight="1">
      <c r="P31"/>
      <c r="Q31"/>
      <c r="R31"/>
      <c r="S31"/>
    </row>
    <row r="32" spans="2:20" ht="15" customHeight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2:20" ht="15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2:20" ht="15" customHeight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2:20" ht="15" customHeight="1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2:20" ht="15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2:20" ht="15" customHeigh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2:20" ht="15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2:20" ht="15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2:20" ht="15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2:20" ht="15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2:20" ht="15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2:20" ht="15" customHeight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2:20" ht="1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2:20" ht="15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2:20" ht="15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2:20" ht="15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2:20" ht="1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2:20" ht="15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2:20" ht="15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2:20" ht="15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2:20" ht="1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2:20" ht="15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2:20" ht="15" customHeigh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2:20" ht="15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2:20" ht="1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2:20" ht="15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2:20" ht="15" customHeight="1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2:20" ht="15" customHeight="1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2:20" ht="15" customHeight="1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2:20" ht="15" customHeight="1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2:20" ht="15" customHeigh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2:20" ht="15" customHeight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2:20" ht="15" customHeight="1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2:20" ht="15" customHeight="1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2:20" ht="15" customHeight="1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2:20" ht="15" customHeight="1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</sheetData>
  <sheetProtection/>
  <mergeCells count="8">
    <mergeCell ref="B1:M1"/>
    <mergeCell ref="B2:M2"/>
    <mergeCell ref="B3:M3"/>
    <mergeCell ref="B4:M4"/>
    <mergeCell ref="R2:R3"/>
    <mergeCell ref="S2:S3"/>
    <mergeCell ref="P2:P3"/>
    <mergeCell ref="Q2:Q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B1:AE64"/>
  <sheetViews>
    <sheetView zoomScalePageLayoutView="0" workbookViewId="0" topLeftCell="A1">
      <selection activeCell="Y16" sqref="Y16"/>
    </sheetView>
  </sheetViews>
  <sheetFormatPr defaultColWidth="10.7109375" defaultRowHeight="15" customHeight="1"/>
  <cols>
    <col min="1" max="1" width="2.7109375" style="112" customWidth="1"/>
    <col min="2" max="8" width="10.7109375" style="112" customWidth="1"/>
    <col min="9" max="9" width="17.57421875" style="112" customWidth="1"/>
    <col min="10" max="11" width="10.7109375" style="112" customWidth="1"/>
    <col min="12" max="12" width="2.7109375" style="112" customWidth="1"/>
    <col min="13" max="13" width="11.140625" style="112" customWidth="1"/>
    <col min="14" max="14" width="10.7109375" style="113" customWidth="1"/>
    <col min="15" max="17" width="15.7109375" style="114" customWidth="1"/>
    <col min="18" max="18" width="13.00390625" style="112" customWidth="1"/>
    <col min="19" max="19" width="10.7109375" style="112" customWidth="1"/>
    <col min="20" max="20" width="13.421875" style="112" customWidth="1"/>
    <col min="21" max="21" width="11.57421875" style="112" bestFit="1" customWidth="1"/>
    <col min="22" max="16384" width="10.7109375" style="112" customWidth="1"/>
  </cols>
  <sheetData>
    <row r="1" spans="2:11" ht="15" customHeight="1" thickBot="1">
      <c r="B1" s="642" t="s">
        <v>106</v>
      </c>
      <c r="C1" s="642"/>
      <c r="D1" s="642"/>
      <c r="E1" s="642"/>
      <c r="F1" s="642"/>
      <c r="G1" s="642"/>
      <c r="H1" s="642"/>
      <c r="I1" s="642"/>
      <c r="J1" s="642"/>
      <c r="K1" s="642"/>
    </row>
    <row r="2" spans="2:17" ht="15" customHeight="1">
      <c r="B2" s="642" t="s">
        <v>113</v>
      </c>
      <c r="C2" s="642"/>
      <c r="D2" s="642"/>
      <c r="E2" s="642"/>
      <c r="F2" s="642"/>
      <c r="G2" s="642"/>
      <c r="H2" s="642"/>
      <c r="I2" s="642"/>
      <c r="J2" s="642"/>
      <c r="K2" s="642"/>
      <c r="N2" s="657" t="s">
        <v>53</v>
      </c>
      <c r="O2" s="660" t="s">
        <v>109</v>
      </c>
      <c r="P2" s="649" t="s">
        <v>114</v>
      </c>
      <c r="Q2" s="651" t="s">
        <v>110</v>
      </c>
    </row>
    <row r="3" spans="2:24" ht="15" customHeight="1">
      <c r="B3" s="639" t="s">
        <v>354</v>
      </c>
      <c r="C3" s="639"/>
      <c r="D3" s="639"/>
      <c r="E3" s="639"/>
      <c r="F3" s="639"/>
      <c r="G3" s="639"/>
      <c r="H3" s="639"/>
      <c r="I3" s="639"/>
      <c r="J3" s="639"/>
      <c r="K3" s="639"/>
      <c r="N3" s="658"/>
      <c r="O3" s="661"/>
      <c r="P3" s="653"/>
      <c r="Q3" s="655"/>
      <c r="T3"/>
      <c r="U3"/>
      <c r="V3"/>
      <c r="W3"/>
      <c r="X3"/>
    </row>
    <row r="4" spans="2:24" ht="15" customHeight="1" thickBot="1">
      <c r="B4" s="642"/>
      <c r="C4" s="642"/>
      <c r="D4" s="642"/>
      <c r="E4" s="642"/>
      <c r="F4" s="642"/>
      <c r="G4" s="642"/>
      <c r="H4" s="642"/>
      <c r="I4" s="642"/>
      <c r="J4" s="3"/>
      <c r="K4" s="3"/>
      <c r="N4" s="659"/>
      <c r="O4" s="662"/>
      <c r="P4" s="654"/>
      <c r="Q4" s="656"/>
      <c r="T4"/>
      <c r="U4"/>
      <c r="V4"/>
      <c r="W4"/>
      <c r="X4"/>
    </row>
    <row r="5" spans="14:24" ht="15" customHeight="1">
      <c r="N5" s="284">
        <v>2007</v>
      </c>
      <c r="O5" s="194"/>
      <c r="P5" s="239"/>
      <c r="Q5" s="196"/>
      <c r="S5"/>
      <c r="T5"/>
      <c r="U5"/>
      <c r="V5"/>
      <c r="W5"/>
      <c r="X5"/>
    </row>
    <row r="6" spans="14:27" ht="15" customHeight="1">
      <c r="N6" s="284">
        <v>2008</v>
      </c>
      <c r="O6" s="361">
        <v>84.71248481646761</v>
      </c>
      <c r="P6" s="195">
        <v>117.00639373986068</v>
      </c>
      <c r="Q6" s="196">
        <f>+O6/P6</f>
        <v>0.723998767151205</v>
      </c>
      <c r="R6"/>
      <c r="S6"/>
      <c r="T6" s="606"/>
      <c r="U6" s="606"/>
      <c r="V6"/>
      <c r="W6"/>
      <c r="X6"/>
      <c r="Y6"/>
      <c r="Z6"/>
      <c r="AA6"/>
    </row>
    <row r="7" spans="14:27" ht="15" customHeight="1">
      <c r="N7" s="284">
        <v>2009</v>
      </c>
      <c r="O7" s="361">
        <v>112.80530516792744</v>
      </c>
      <c r="P7" s="195">
        <v>108.4466320313838</v>
      </c>
      <c r="Q7" s="196">
        <f aca="true" t="shared" si="0" ref="Q7:Q12">+O7/P7</f>
        <v>1.0401918718442291</v>
      </c>
      <c r="R7"/>
      <c r="S7" s="605"/>
      <c r="T7" s="606"/>
      <c r="U7" s="606"/>
      <c r="V7"/>
      <c r="W7"/>
      <c r="X7"/>
      <c r="Y7"/>
      <c r="Z7"/>
      <c r="AA7"/>
    </row>
    <row r="8" spans="14:27" ht="15" customHeight="1">
      <c r="N8" s="284">
        <v>2010</v>
      </c>
      <c r="O8" s="361">
        <v>124.14861374170026</v>
      </c>
      <c r="P8" s="195">
        <v>108.73784947449565</v>
      </c>
      <c r="Q8" s="196">
        <f t="shared" si="0"/>
        <v>1.1417240118475875</v>
      </c>
      <c r="R8"/>
      <c r="S8"/>
      <c r="T8" s="606"/>
      <c r="U8" s="606"/>
      <c r="V8"/>
      <c r="W8"/>
      <c r="X8"/>
      <c r="Y8"/>
      <c r="Z8"/>
      <c r="AA8"/>
    </row>
    <row r="9" spans="14:27" ht="15" customHeight="1">
      <c r="N9" s="284">
        <v>2011</v>
      </c>
      <c r="O9" s="361">
        <v>115.26002406795473</v>
      </c>
      <c r="P9" s="195">
        <v>118.86973842557371</v>
      </c>
      <c r="Q9" s="196">
        <f t="shared" si="0"/>
        <v>0.9696330251464372</v>
      </c>
      <c r="R9"/>
      <c r="S9"/>
      <c r="T9" s="606"/>
      <c r="U9" s="606"/>
      <c r="V9"/>
      <c r="W9"/>
      <c r="X9"/>
      <c r="Y9"/>
      <c r="Z9"/>
      <c r="AA9"/>
    </row>
    <row r="10" spans="14:27" ht="15" customHeight="1">
      <c r="N10" s="285">
        <v>2012</v>
      </c>
      <c r="O10" s="403">
        <v>103.47536568029629</v>
      </c>
      <c r="P10" s="469">
        <v>116.23620315472832</v>
      </c>
      <c r="Q10" s="196">
        <f t="shared" si="0"/>
        <v>0.8902163256533304</v>
      </c>
      <c r="R10"/>
      <c r="S10"/>
      <c r="T10" s="606"/>
      <c r="U10" s="606"/>
      <c r="V10"/>
      <c r="W10"/>
      <c r="X10"/>
      <c r="Y10"/>
      <c r="Z10"/>
      <c r="AA10"/>
    </row>
    <row r="11" spans="14:27" ht="15" customHeight="1">
      <c r="N11" s="258">
        <v>2013</v>
      </c>
      <c r="O11" s="467">
        <v>97.3555511733386</v>
      </c>
      <c r="P11" s="470">
        <v>114.12896573127634</v>
      </c>
      <c r="Q11" s="196">
        <f t="shared" si="0"/>
        <v>0.8530310473729187</v>
      </c>
      <c r="R11"/>
      <c r="S11"/>
      <c r="T11"/>
      <c r="U11"/>
      <c r="V11"/>
      <c r="W11"/>
      <c r="X11"/>
      <c r="Y11"/>
      <c r="Z11"/>
      <c r="AA11"/>
    </row>
    <row r="12" spans="14:27" ht="15" customHeight="1">
      <c r="N12" s="257">
        <v>2014</v>
      </c>
      <c r="O12" s="528">
        <v>104.03492069922422</v>
      </c>
      <c r="P12" s="529">
        <v>109.47697368421052</v>
      </c>
      <c r="Q12" s="196">
        <f t="shared" si="0"/>
        <v>0.9502904327563524</v>
      </c>
      <c r="R12"/>
      <c r="S12"/>
      <c r="T12"/>
      <c r="U12"/>
      <c r="V12"/>
      <c r="W12"/>
      <c r="X12"/>
      <c r="Y12"/>
      <c r="Z12"/>
      <c r="AA12"/>
    </row>
    <row r="13" spans="14:27" ht="15" customHeight="1">
      <c r="N13" s="257">
        <v>2015</v>
      </c>
      <c r="O13" s="528">
        <v>101.40021936229175</v>
      </c>
      <c r="P13" s="529">
        <v>108.35351501857917</v>
      </c>
      <c r="Q13" s="196">
        <f aca="true" t="shared" si="1" ref="Q13:Q18">+O13/P13</f>
        <v>0.9358276872227435</v>
      </c>
      <c r="R13"/>
      <c r="S13"/>
      <c r="T13"/>
      <c r="U13"/>
      <c r="V13"/>
      <c r="W13"/>
      <c r="X13"/>
      <c r="Y13"/>
      <c r="Z13"/>
      <c r="AA13"/>
    </row>
    <row r="14" spans="14:31" ht="15" customHeight="1">
      <c r="N14" s="257">
        <v>2016</v>
      </c>
      <c r="O14" s="528">
        <v>105.21567711316848</v>
      </c>
      <c r="P14" s="529">
        <v>107.05468676340362</v>
      </c>
      <c r="Q14" s="196">
        <f t="shared" si="1"/>
        <v>0.9828217735642023</v>
      </c>
      <c r="R14"/>
      <c r="T14"/>
      <c r="U14"/>
      <c r="V14"/>
      <c r="W14"/>
      <c r="X14"/>
      <c r="Y14"/>
      <c r="Z14"/>
      <c r="AA14"/>
      <c r="AB14"/>
      <c r="AC14"/>
      <c r="AD14"/>
      <c r="AE14"/>
    </row>
    <row r="15" spans="14:31" ht="15" customHeight="1">
      <c r="N15" s="257">
        <v>2017</v>
      </c>
      <c r="O15" s="528">
        <v>104.3126233731473</v>
      </c>
      <c r="P15" s="529">
        <v>107.41716358555587</v>
      </c>
      <c r="Q15" s="196">
        <f t="shared" si="1"/>
        <v>0.9710982853318795</v>
      </c>
      <c r="R15"/>
      <c r="T15"/>
      <c r="U15"/>
      <c r="V15"/>
      <c r="W15"/>
      <c r="X15"/>
      <c r="Y15"/>
      <c r="Z15"/>
      <c r="AA15"/>
      <c r="AB15"/>
      <c r="AC15"/>
      <c r="AD15"/>
      <c r="AE15"/>
    </row>
    <row r="16" spans="14:31" ht="15" customHeight="1">
      <c r="N16" s="257">
        <v>2018</v>
      </c>
      <c r="O16" s="528">
        <v>100.714664769447</v>
      </c>
      <c r="P16" s="529">
        <v>104.38338913196709</v>
      </c>
      <c r="Q16" s="196">
        <f t="shared" si="1"/>
        <v>0.9648533699372235</v>
      </c>
      <c r="R16"/>
      <c r="T16"/>
      <c r="U16"/>
      <c r="V16"/>
      <c r="W16"/>
      <c r="X16"/>
      <c r="Y16"/>
      <c r="Z16"/>
      <c r="AA16"/>
      <c r="AB16"/>
      <c r="AC16"/>
      <c r="AD16"/>
      <c r="AE16"/>
    </row>
    <row r="17" spans="14:31" ht="15" customHeight="1">
      <c r="N17" s="258">
        <v>2019</v>
      </c>
      <c r="O17" s="467">
        <v>109.8254533031855</v>
      </c>
      <c r="P17" s="470">
        <v>103.16497611251604</v>
      </c>
      <c r="Q17" s="604">
        <f t="shared" si="1"/>
        <v>1.0645614184353154</v>
      </c>
      <c r="R17"/>
      <c r="T17"/>
      <c r="U17"/>
      <c r="V17"/>
      <c r="W17"/>
      <c r="X17"/>
      <c r="Y17"/>
      <c r="Z17"/>
      <c r="AA17"/>
      <c r="AB17"/>
      <c r="AC17"/>
      <c r="AD17"/>
      <c r="AE17"/>
    </row>
    <row r="18" spans="14:31" ht="15" customHeight="1">
      <c r="N18" s="258">
        <v>2020</v>
      </c>
      <c r="O18" s="467">
        <v>76.17827477217429</v>
      </c>
      <c r="P18" s="470">
        <v>80.58144881494796</v>
      </c>
      <c r="Q18" s="604">
        <f t="shared" si="1"/>
        <v>0.9453574723769812</v>
      </c>
      <c r="R18"/>
      <c r="T18"/>
      <c r="U18"/>
      <c r="V18"/>
      <c r="W18"/>
      <c r="X18"/>
      <c r="Y18"/>
      <c r="Z18"/>
      <c r="AA18"/>
      <c r="AB18"/>
      <c r="AC18"/>
      <c r="AD18"/>
      <c r="AE18"/>
    </row>
    <row r="19" spans="14:31" ht="15" customHeight="1" thickBot="1">
      <c r="N19" s="259">
        <v>2021</v>
      </c>
      <c r="O19" s="468">
        <v>112.24686829538378</v>
      </c>
      <c r="P19" s="471">
        <v>117.83741223113549</v>
      </c>
      <c r="Q19" s="197">
        <f>+O19/P19</f>
        <v>0.9525571392828452</v>
      </c>
      <c r="R19"/>
      <c r="T19"/>
      <c r="U19"/>
      <c r="V19"/>
      <c r="W19"/>
      <c r="X19"/>
      <c r="Y19"/>
      <c r="Z19"/>
      <c r="AA19"/>
      <c r="AB19"/>
      <c r="AC19"/>
      <c r="AD19"/>
      <c r="AE19"/>
    </row>
    <row r="20" spans="14:31" ht="15" customHeight="1">
      <c r="N20"/>
      <c r="T20"/>
      <c r="U20"/>
      <c r="V20"/>
      <c r="W20"/>
      <c r="X20"/>
      <c r="Y20"/>
      <c r="Z20"/>
      <c r="AA20"/>
      <c r="AB20"/>
      <c r="AC20"/>
      <c r="AD20"/>
      <c r="AE20"/>
    </row>
    <row r="21" spans="14:31" ht="15" customHeight="1">
      <c r="N21" t="s">
        <v>99</v>
      </c>
      <c r="T21"/>
      <c r="U21"/>
      <c r="V21"/>
      <c r="W21"/>
      <c r="X21"/>
      <c r="Y21"/>
      <c r="Z21"/>
      <c r="AA21"/>
      <c r="AB21"/>
      <c r="AC21"/>
      <c r="AD21"/>
      <c r="AE21"/>
    </row>
    <row r="22" spans="14:31" ht="15" customHeight="1">
      <c r="N22" t="s">
        <v>100</v>
      </c>
      <c r="T22"/>
      <c r="U22"/>
      <c r="V22"/>
      <c r="W22"/>
      <c r="X22"/>
      <c r="Y22"/>
      <c r="Z22"/>
      <c r="AA22"/>
      <c r="AB22"/>
      <c r="AC22"/>
      <c r="AD22"/>
      <c r="AE22"/>
    </row>
    <row r="23" spans="14:24" ht="15" customHeight="1">
      <c r="N23" t="s">
        <v>101</v>
      </c>
      <c r="T23"/>
      <c r="U23"/>
      <c r="V23"/>
      <c r="W23"/>
      <c r="X23"/>
    </row>
    <row r="24" spans="14:23" ht="15" customHeight="1">
      <c r="N24"/>
      <c r="T24"/>
      <c r="U24"/>
      <c r="V24"/>
      <c r="W24"/>
    </row>
    <row r="25" spans="14:23" ht="15" customHeight="1">
      <c r="N25" t="s">
        <v>96</v>
      </c>
      <c r="T25"/>
      <c r="U25"/>
      <c r="V25"/>
      <c r="W25"/>
    </row>
    <row r="26" spans="14:23" ht="15" customHeight="1">
      <c r="N26"/>
      <c r="O26"/>
      <c r="P26"/>
      <c r="Q26"/>
      <c r="R26"/>
      <c r="S26"/>
      <c r="T26"/>
      <c r="U26"/>
      <c r="V26"/>
      <c r="W26"/>
    </row>
    <row r="27" spans="14:23" ht="15" customHeight="1">
      <c r="N27"/>
      <c r="O27"/>
      <c r="P27"/>
      <c r="Q27"/>
      <c r="R27"/>
      <c r="S27"/>
      <c r="T27"/>
      <c r="U27"/>
      <c r="V27"/>
      <c r="W27"/>
    </row>
    <row r="28" spans="14:23" ht="15" customHeight="1">
      <c r="N28"/>
      <c r="O28"/>
      <c r="P28"/>
      <c r="Q28"/>
      <c r="R28"/>
      <c r="S28"/>
      <c r="T28"/>
      <c r="U28"/>
      <c r="V28"/>
      <c r="W28"/>
    </row>
    <row r="29" spans="14:23" ht="15" customHeight="1">
      <c r="N29"/>
      <c r="O29"/>
      <c r="P29"/>
      <c r="Q29"/>
      <c r="R29"/>
      <c r="S29"/>
      <c r="T29"/>
      <c r="U29"/>
      <c r="V29"/>
      <c r="W29"/>
    </row>
    <row r="30" spans="14:23" ht="15" customHeight="1">
      <c r="N30"/>
      <c r="O30"/>
      <c r="P30"/>
      <c r="Q30"/>
      <c r="R30"/>
      <c r="S30"/>
      <c r="T30"/>
      <c r="U30"/>
      <c r="V30"/>
      <c r="W30"/>
    </row>
    <row r="31" spans="14:21" ht="15" customHeight="1">
      <c r="N31"/>
      <c r="O31"/>
      <c r="P31"/>
      <c r="Q31"/>
      <c r="R31"/>
      <c r="S31"/>
      <c r="T31"/>
      <c r="U31"/>
    </row>
    <row r="32" spans="14:21" ht="15" customHeight="1">
      <c r="N32"/>
      <c r="O32"/>
      <c r="P32"/>
      <c r="Q32"/>
      <c r="R32"/>
      <c r="S32"/>
      <c r="T32"/>
      <c r="U32"/>
    </row>
    <row r="33" spans="14:21" ht="15" customHeight="1">
      <c r="N33"/>
      <c r="O33"/>
      <c r="P33"/>
      <c r="Q33"/>
      <c r="R33"/>
      <c r="S33"/>
      <c r="T33"/>
      <c r="U33"/>
    </row>
    <row r="34" spans="2:21" ht="15" customHeight="1" thickBot="1">
      <c r="B34" s="642" t="s">
        <v>106</v>
      </c>
      <c r="C34" s="642"/>
      <c r="D34" s="642"/>
      <c r="E34" s="642"/>
      <c r="F34" s="642"/>
      <c r="G34" s="642"/>
      <c r="H34" s="642"/>
      <c r="I34" s="642"/>
      <c r="J34" s="642"/>
      <c r="K34" s="3"/>
      <c r="Q34"/>
      <c r="R34"/>
      <c r="S34"/>
      <c r="T34"/>
      <c r="U34"/>
    </row>
    <row r="35" spans="2:21" ht="15" customHeight="1">
      <c r="B35" s="642" t="s">
        <v>113</v>
      </c>
      <c r="C35" s="642"/>
      <c r="D35" s="642"/>
      <c r="E35" s="642"/>
      <c r="F35" s="642"/>
      <c r="G35" s="642"/>
      <c r="H35" s="642"/>
      <c r="I35" s="642"/>
      <c r="J35" s="642"/>
      <c r="K35" s="3"/>
      <c r="N35" s="657" t="s">
        <v>53</v>
      </c>
      <c r="O35" s="660" t="s">
        <v>109</v>
      </c>
      <c r="P35" s="649" t="s">
        <v>114</v>
      </c>
      <c r="Q35" s="651" t="s">
        <v>110</v>
      </c>
      <c r="T35"/>
      <c r="U35"/>
    </row>
    <row r="36" spans="2:21" ht="15" customHeight="1">
      <c r="B36" s="642" t="s">
        <v>192</v>
      </c>
      <c r="C36" s="642"/>
      <c r="D36" s="642"/>
      <c r="E36" s="642"/>
      <c r="F36" s="642"/>
      <c r="G36" s="642"/>
      <c r="H36" s="642"/>
      <c r="I36" s="642"/>
      <c r="J36" s="642"/>
      <c r="K36" s="3"/>
      <c r="N36" s="658"/>
      <c r="O36" s="661"/>
      <c r="P36" s="653"/>
      <c r="Q36" s="655"/>
      <c r="T36"/>
      <c r="U36"/>
    </row>
    <row r="37" spans="2:21" ht="15" customHeight="1" thickBot="1">
      <c r="B37" s="642"/>
      <c r="C37" s="642"/>
      <c r="D37" s="642"/>
      <c r="E37" s="642"/>
      <c r="F37" s="642"/>
      <c r="G37" s="642"/>
      <c r="H37" s="642"/>
      <c r="I37" s="642"/>
      <c r="J37" s="3"/>
      <c r="K37" s="3"/>
      <c r="N37" s="659"/>
      <c r="O37" s="662"/>
      <c r="P37" s="654"/>
      <c r="Q37" s="656"/>
      <c r="T37"/>
      <c r="U37"/>
    </row>
    <row r="38" spans="14:21" ht="15" customHeight="1">
      <c r="N38" s="257">
        <v>1996</v>
      </c>
      <c r="O38" s="119"/>
      <c r="P38" s="120"/>
      <c r="Q38" s="121"/>
      <c r="T38"/>
      <c r="U38"/>
    </row>
    <row r="39" spans="14:21" ht="15" customHeight="1">
      <c r="N39" s="257">
        <v>1997</v>
      </c>
      <c r="O39" s="119">
        <v>101.44</v>
      </c>
      <c r="P39" s="120">
        <v>106.379</v>
      </c>
      <c r="Q39" s="196">
        <f>+O39/P39</f>
        <v>0.9535716635802178</v>
      </c>
      <c r="T39"/>
      <c r="U39"/>
    </row>
    <row r="40" spans="14:21" ht="15" customHeight="1">
      <c r="N40" s="257">
        <v>1998</v>
      </c>
      <c r="O40" s="119">
        <v>103.315</v>
      </c>
      <c r="P40" s="120">
        <v>107.381</v>
      </c>
      <c r="Q40" s="196">
        <f aca="true" t="shared" si="2" ref="Q40:Q52">+O40/P40</f>
        <v>0.9621348283215839</v>
      </c>
      <c r="T40"/>
      <c r="U40"/>
    </row>
    <row r="41" spans="14:21" ht="15" customHeight="1">
      <c r="N41" s="257">
        <v>1999</v>
      </c>
      <c r="O41" s="119">
        <v>89.463</v>
      </c>
      <c r="P41" s="120">
        <v>103.969</v>
      </c>
      <c r="Q41" s="196">
        <f t="shared" si="2"/>
        <v>0.8604776423741692</v>
      </c>
      <c r="T41"/>
      <c r="U41"/>
    </row>
    <row r="42" spans="14:21" ht="15" customHeight="1">
      <c r="N42" s="257">
        <v>2000</v>
      </c>
      <c r="O42" s="119">
        <v>110.006</v>
      </c>
      <c r="P42" s="120">
        <v>102.704</v>
      </c>
      <c r="Q42" s="196">
        <f t="shared" si="2"/>
        <v>1.0710975229786572</v>
      </c>
      <c r="T42"/>
      <c r="U42"/>
    </row>
    <row r="43" spans="14:20" ht="15" customHeight="1">
      <c r="N43" s="257">
        <v>2001</v>
      </c>
      <c r="O43" s="119">
        <v>121.773</v>
      </c>
      <c r="P43" s="120">
        <v>100.574</v>
      </c>
      <c r="Q43" s="196">
        <f t="shared" si="2"/>
        <v>1.2107801220991508</v>
      </c>
      <c r="S43"/>
      <c r="T43"/>
    </row>
    <row r="44" spans="14:20" ht="15" customHeight="1">
      <c r="N44" s="257">
        <v>2002</v>
      </c>
      <c r="O44" s="167">
        <v>88.724</v>
      </c>
      <c r="P44" s="168">
        <v>102.229</v>
      </c>
      <c r="Q44" s="196">
        <f t="shared" si="2"/>
        <v>0.8678946287257041</v>
      </c>
      <c r="S44"/>
      <c r="T44"/>
    </row>
    <row r="45" spans="14:20" ht="15" customHeight="1">
      <c r="N45" s="284">
        <v>2003</v>
      </c>
      <c r="O45" s="194">
        <v>89.926</v>
      </c>
      <c r="P45" s="195">
        <v>104.206</v>
      </c>
      <c r="Q45" s="196">
        <f t="shared" si="2"/>
        <v>0.8629637448899296</v>
      </c>
      <c r="S45"/>
      <c r="T45"/>
    </row>
    <row r="46" spans="14:20" ht="15" customHeight="1">
      <c r="N46" s="284">
        <v>2004</v>
      </c>
      <c r="O46" s="194">
        <v>104.72</v>
      </c>
      <c r="P46" s="195">
        <v>107.528</v>
      </c>
      <c r="Q46" s="196">
        <f t="shared" si="2"/>
        <v>0.9738858715869354</v>
      </c>
      <c r="R46"/>
      <c r="S46"/>
      <c r="T46"/>
    </row>
    <row r="47" spans="14:20" ht="15" customHeight="1">
      <c r="N47" s="284">
        <v>2005</v>
      </c>
      <c r="O47" s="194">
        <v>101.142</v>
      </c>
      <c r="P47" s="239">
        <v>107.191</v>
      </c>
      <c r="Q47" s="196">
        <f t="shared" si="2"/>
        <v>0.9435680234348033</v>
      </c>
      <c r="R47"/>
      <c r="S47"/>
      <c r="T47"/>
    </row>
    <row r="48" spans="14:19" ht="15" customHeight="1">
      <c r="N48" s="284">
        <v>2006</v>
      </c>
      <c r="O48" s="194">
        <v>102.298</v>
      </c>
      <c r="P48" s="239">
        <v>108.528</v>
      </c>
      <c r="Q48" s="196">
        <f t="shared" si="2"/>
        <v>0.942595459236326</v>
      </c>
      <c r="R48"/>
      <c r="S48"/>
    </row>
    <row r="49" spans="14:19" ht="15" customHeight="1">
      <c r="N49" s="284">
        <v>2007</v>
      </c>
      <c r="O49" s="194">
        <v>112.977</v>
      </c>
      <c r="P49" s="239">
        <v>112.113</v>
      </c>
      <c r="Q49" s="196">
        <f t="shared" si="2"/>
        <v>1.0077065103957614</v>
      </c>
      <c r="R49"/>
      <c r="S49"/>
    </row>
    <row r="50" spans="14:19" ht="15" customHeight="1">
      <c r="N50" s="284">
        <v>2008</v>
      </c>
      <c r="O50" s="194">
        <v>94.813</v>
      </c>
      <c r="P50" s="239">
        <v>110.117</v>
      </c>
      <c r="Q50" s="196">
        <f t="shared" si="2"/>
        <v>0.8610205508686215</v>
      </c>
      <c r="R50"/>
      <c r="S50"/>
    </row>
    <row r="51" spans="14:19" ht="15" customHeight="1">
      <c r="N51" s="284">
        <v>2009</v>
      </c>
      <c r="O51" s="361">
        <v>109.38</v>
      </c>
      <c r="P51" s="239">
        <v>103.856</v>
      </c>
      <c r="Q51" s="196">
        <f t="shared" si="2"/>
        <v>1.0531890309659528</v>
      </c>
      <c r="S51"/>
    </row>
    <row r="52" spans="14:19" ht="15" customHeight="1">
      <c r="N52" s="284">
        <v>2010</v>
      </c>
      <c r="O52" s="194">
        <v>107.428</v>
      </c>
      <c r="P52" s="239">
        <v>107.452</v>
      </c>
      <c r="Q52" s="196">
        <f t="shared" si="2"/>
        <v>0.9997766444551985</v>
      </c>
      <c r="S52"/>
    </row>
    <row r="53" spans="14:19" ht="15" customHeight="1">
      <c r="N53" s="284">
        <v>2011</v>
      </c>
      <c r="O53" s="194">
        <v>114.296</v>
      </c>
      <c r="P53" s="239">
        <v>110.849</v>
      </c>
      <c r="Q53" s="196">
        <f>+O53/P53</f>
        <v>1.0310963563045223</v>
      </c>
      <c r="S53"/>
    </row>
    <row r="54" spans="14:19" ht="15" customHeight="1" thickBot="1">
      <c r="N54" s="286">
        <v>2012</v>
      </c>
      <c r="O54" s="374">
        <v>103.27</v>
      </c>
      <c r="P54" s="170">
        <v>110.671</v>
      </c>
      <c r="Q54" s="197">
        <f>+O54/P54</f>
        <v>0.9331261125317382</v>
      </c>
      <c r="S54"/>
    </row>
    <row r="55" ht="15" customHeight="1">
      <c r="N55" t="s">
        <v>99</v>
      </c>
    </row>
    <row r="56" ht="15" customHeight="1">
      <c r="N56" t="s">
        <v>100</v>
      </c>
    </row>
    <row r="57" ht="15" customHeight="1">
      <c r="N57" t="s">
        <v>101</v>
      </c>
    </row>
    <row r="58" ht="15" customHeight="1">
      <c r="N58"/>
    </row>
    <row r="59" ht="15" customHeight="1">
      <c r="N59" t="s">
        <v>96</v>
      </c>
    </row>
    <row r="60" spans="14:17" ht="15" customHeight="1">
      <c r="N60"/>
      <c r="O60"/>
      <c r="P60"/>
      <c r="Q60"/>
    </row>
    <row r="61" spans="14:17" ht="15" customHeight="1">
      <c r="N61"/>
      <c r="O61"/>
      <c r="P61"/>
      <c r="Q61"/>
    </row>
    <row r="62" spans="14:19" ht="15" customHeight="1">
      <c r="N62"/>
      <c r="O62"/>
      <c r="P62"/>
      <c r="Q62"/>
      <c r="R62"/>
      <c r="S62"/>
    </row>
    <row r="63" spans="14:19" ht="15" customHeight="1">
      <c r="N63"/>
      <c r="O63"/>
      <c r="P63"/>
      <c r="Q63"/>
      <c r="R63"/>
      <c r="S63"/>
    </row>
    <row r="64" spans="14:19" ht="15" customHeight="1">
      <c r="N64"/>
      <c r="O64"/>
      <c r="P64"/>
      <c r="Q64"/>
      <c r="R64"/>
      <c r="S64"/>
    </row>
  </sheetData>
  <sheetProtection/>
  <mergeCells count="16">
    <mergeCell ref="B1:K1"/>
    <mergeCell ref="B2:K2"/>
    <mergeCell ref="P35:P37"/>
    <mergeCell ref="Q35:Q37"/>
    <mergeCell ref="B36:J36"/>
    <mergeCell ref="B37:I37"/>
    <mergeCell ref="B34:J34"/>
    <mergeCell ref="B35:J35"/>
    <mergeCell ref="N35:N37"/>
    <mergeCell ref="O35:O37"/>
    <mergeCell ref="B3:K3"/>
    <mergeCell ref="P2:P4"/>
    <mergeCell ref="Q2:Q4"/>
    <mergeCell ref="B4:I4"/>
    <mergeCell ref="N2:N4"/>
    <mergeCell ref="O2:O4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Economia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Comisión de Política Energética</dc:creator>
  <cp:keywords/>
  <dc:description/>
  <cp:lastModifiedBy>Usuario de Windows</cp:lastModifiedBy>
  <cp:lastPrinted>2016-06-13T18:14:58Z</cp:lastPrinted>
  <dcterms:created xsi:type="dcterms:W3CDTF">2001-07-10T17:11:59Z</dcterms:created>
  <dcterms:modified xsi:type="dcterms:W3CDTF">2022-12-29T17:43:23Z</dcterms:modified>
  <cp:category/>
  <cp:version/>
  <cp:contentType/>
  <cp:contentStatus/>
</cp:coreProperties>
</file>